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Cost Adjustment Workpapers - July Posting/"/>
    </mc:Choice>
  </mc:AlternateContent>
  <xr:revisionPtr revIDLastSave="882" documentId="8_{0B03EDE5-A241-44D2-AD5A-03A1BA5CEA5D}" xr6:coauthVersionLast="47" xr6:coauthVersionMax="47" xr10:uidLastSave="{A33BC088-002A-4174-9639-D95F9D88FA60}"/>
  <bookViews>
    <workbookView xWindow="-110" yWindow="-110" windowWidth="19420" windowHeight="10420" tabRatio="928" xr2:uid="{00000000-000D-0000-FFFF-FFFF00000000}"/>
  </bookViews>
  <sheets>
    <sheet name="Pg1 App X C7 Cost Adj" sheetId="158" r:id="rId1"/>
    <sheet name="Pg2 App X C7 Comparison" sheetId="157" r:id="rId2"/>
    <sheet name="Pg3 Rev App X C7 Summary" sheetId="159" r:id="rId3"/>
    <sheet name="Pg4 As Filed App X C7 FERC Adj " sheetId="112" r:id="rId4"/>
    <sheet name="Pg5 Rev Sec 2 Non-Direct Exp" sheetId="205" r:id="rId5"/>
    <sheet name="Pg6 As Filed Sec 2 Non-Dir Exp " sheetId="161" r:id="rId6"/>
    <sheet name="Pg7 Rev Sec 4a-TU" sheetId="206" r:id="rId7"/>
    <sheet name="Pg7.1 As Filed Sec 4a-TU FERC" sheetId="163" r:id="rId8"/>
    <sheet name="Pg8 Rev Sec 4b-TU COS" sheetId="207" r:id="rId9"/>
    <sheet name="Pg8.1 As Filed Sec 4b-TU FERC" sheetId="165" r:id="rId10"/>
    <sheet name="Pg9 Rev Stmt AH" sheetId="199" r:id="rId11"/>
    <sheet name="Pg9.1 As Filed Stmt AH FERC Adj" sheetId="183" r:id="rId12"/>
    <sheet name="Pg9.2 Rev AH-3" sheetId="201" r:id="rId13"/>
    <sheet name="Pg9.3 As Filed AH-3 FERC Adj" sheetId="185" r:id="rId14"/>
    <sheet name="Pg10 Rev Stmt AL" sheetId="190" r:id="rId15"/>
    <sheet name="Pg10.1 As Filed Stmt AL FERC" sheetId="202" r:id="rId16"/>
    <sheet name="Pg11 Rev Stmt AV" sheetId="203" r:id="rId17"/>
    <sheet name="Pg12 As Filed Stmt AV FERC Adj" sheetId="192" r:id="rId18"/>
    <sheet name="Pg13 Rev AV-4" sheetId="204" r:id="rId19"/>
    <sheet name="Pg14 As Filed AV-4 FERC Adj" sheetId="193" r:id="rId20"/>
    <sheet name="Pg15 App X C7 Int Calc" sheetId="194" r:id="rId21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hidden="1">{"SourcesUses",#N/A,TRUE,#N/A;"TransOverview",#N/A,TRUE,"CFMODEL"}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 hidden="1">1252</definedName>
    <definedName name="HTML_Control" hidden="1">{"'Attachment'!$A$1:$L$49"}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 hidden="1">""</definedName>
    <definedName name="HTML_Email" hidden="1">"dsullivan@sdge.com"</definedName>
    <definedName name="HTML_Header" hidden="1">"SRAC"</definedName>
    <definedName name="HTML_LastUpdate" hidden="1">"04/01/2002"</definedName>
    <definedName name="HTML_LineAfter" hidden="1">TRUE</definedName>
    <definedName name="HTML_LineBefore" hidden="1">TRUE</definedName>
    <definedName name="HTML_Name" hidden="1">"Daniel L. Sullivan"</definedName>
    <definedName name="HTML_OBDlg2" hidden="1">TRUE</definedName>
    <definedName name="HTML_OBDlg4" hidden="1">TRUE</definedName>
    <definedName name="HTML_OS" hidden="1">0</definedName>
    <definedName name="HTML_PathFile" hidden="1">"S:\FUELS\DATA\SULLIVAN\DATA\Srac Spreadsheet\FILING\2002\SracHTML\Srac0402.htm"</definedName>
    <definedName name="HTML_Title" hidden="1">"April 2002 SRAC Prices"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15">'Pg10.1 As Filed Stmt AL FERC'!$A$2:$J$34</definedName>
    <definedName name="_xlnm.Print_Area" localSheetId="17">'Pg12 As Filed Stmt AV FERC Adj'!$A$2:$J$162</definedName>
    <definedName name="_xlnm.Print_Area" localSheetId="19">'Pg14 As Filed AV-4 FERC Adj'!$A$2:$F$95</definedName>
    <definedName name="_xlnm.Print_Area" localSheetId="3">'Pg4 As Filed App X C7 FERC Adj '!$A$2:$E$61</definedName>
    <definedName name="_xlnm.Print_Area" localSheetId="5">'Pg6 As Filed Sec 2 Non-Dir Exp '!$A$2:$H$169</definedName>
    <definedName name="_xlnm.Print_Area" localSheetId="7">'Pg7.1 As Filed Sec 4a-TU FERC'!$A$2:$R$52</definedName>
    <definedName name="_xlnm.Print_Area" localSheetId="9">'Pg8.1 As Filed Sec 4b-TU FERC'!$A$2:$G$28</definedName>
    <definedName name="_xlnm.Print_Area" localSheetId="11">'Pg9.1 As Filed Stmt AH FERC Adj'!$A$2:$I$72</definedName>
    <definedName name="_xlnm.Print_Area" localSheetId="12">'Pg9.2 Rev AH-3'!$A$1:$O$60</definedName>
    <definedName name="_xlnm.Print_Area" localSheetId="13">'Pg9.3 As Filed AH-3 FERC Adj'!$A$2:$L$59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_xlnm.Print_Titles" localSheetId="20">'Pg15 App X C7 Int Calc'!$1:$16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>[0]!PRINTCAT</definedName>
    <definedName name="PRINTER">#REF!</definedName>
    <definedName name="PRINTOTHER">#REF!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hidden="1">{"Sch.D_P_1Gas",#N/A,FALSE,"Sch.D";"Sch.D_P_2Elec",#N/A,FALSE,"Sch.D"}</definedName>
    <definedName name="TEST2">#REF!</definedName>
    <definedName name="test2006" hidden="1">{"SourcesUses",#N/A,TRUE,#N/A;"TransOverview",#N/A,TRUE,"CFMODEL"}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04" l="1"/>
  <c r="B32" i="190"/>
  <c r="C53" i="201"/>
  <c r="C71" i="199"/>
  <c r="B26" i="207"/>
  <c r="B44" i="205"/>
  <c r="B60" i="159"/>
  <c r="O43" i="201" l="1"/>
  <c r="O44" i="201" s="1"/>
  <c r="D113" i="194" l="1"/>
  <c r="G55" i="157"/>
  <c r="G53" i="157"/>
  <c r="G31" i="157"/>
  <c r="G27" i="157"/>
  <c r="E59" i="157"/>
  <c r="E55" i="157"/>
  <c r="E31" i="157"/>
  <c r="E27" i="157"/>
  <c r="E57" i="157" l="1"/>
  <c r="E53" i="157"/>
  <c r="E51" i="157"/>
  <c r="E47" i="157"/>
  <c r="E43" i="157"/>
  <c r="E41" i="157"/>
  <c r="E39" i="157"/>
  <c r="E29" i="157"/>
  <c r="E25" i="157"/>
  <c r="E21" i="157"/>
  <c r="E17" i="157"/>
  <c r="E15" i="157"/>
  <c r="E13" i="157"/>
  <c r="B44" i="206"/>
  <c r="I26" i="206"/>
  <c r="N24" i="206"/>
  <c r="N26" i="206" s="1"/>
  <c r="M24" i="206"/>
  <c r="M26" i="206" s="1"/>
  <c r="L24" i="206"/>
  <c r="L26" i="206" s="1"/>
  <c r="K24" i="206"/>
  <c r="K26" i="206" s="1"/>
  <c r="J24" i="206"/>
  <c r="J26" i="206" s="1"/>
  <c r="I24" i="206"/>
  <c r="H24" i="206"/>
  <c r="H26" i="206" s="1"/>
  <c r="G24" i="206"/>
  <c r="G26" i="206" s="1"/>
  <c r="F24" i="206"/>
  <c r="F26" i="206" s="1"/>
  <c r="E24" i="206"/>
  <c r="E26" i="206" s="1"/>
  <c r="D24" i="206"/>
  <c r="D26" i="206" s="1"/>
  <c r="C24" i="206"/>
  <c r="C26" i="206" s="1"/>
  <c r="O23" i="206"/>
  <c r="O22" i="206"/>
  <c r="O20" i="206"/>
  <c r="O19" i="206"/>
  <c r="O17" i="206"/>
  <c r="O16" i="206"/>
  <c r="O13" i="206"/>
  <c r="A12" i="206"/>
  <c r="A13" i="206" s="1"/>
  <c r="A14" i="206" s="1"/>
  <c r="A15" i="206" s="1"/>
  <c r="A16" i="206" s="1"/>
  <c r="A17" i="206" s="1"/>
  <c r="A18" i="206" s="1"/>
  <c r="A19" i="206" s="1"/>
  <c r="A20" i="206" s="1"/>
  <c r="A21" i="206" s="1"/>
  <c r="A22" i="206" s="1"/>
  <c r="A23" i="206" s="1"/>
  <c r="A24" i="206" s="1"/>
  <c r="A25" i="206" s="1"/>
  <c r="A26" i="206" s="1"/>
  <c r="A27" i="206" s="1"/>
  <c r="A28" i="206" s="1"/>
  <c r="A29" i="206" s="1"/>
  <c r="A30" i="206" s="1"/>
  <c r="R11" i="206"/>
  <c r="R12" i="206" s="1"/>
  <c r="R13" i="206" s="1"/>
  <c r="R14" i="206" s="1"/>
  <c r="R15" i="206" s="1"/>
  <c r="R16" i="206" s="1"/>
  <c r="R17" i="206" s="1"/>
  <c r="R18" i="206" s="1"/>
  <c r="R19" i="206" s="1"/>
  <c r="R20" i="206" s="1"/>
  <c r="R21" i="206" s="1"/>
  <c r="R22" i="206" s="1"/>
  <c r="R23" i="206" s="1"/>
  <c r="R24" i="206" s="1"/>
  <c r="R25" i="206" s="1"/>
  <c r="R26" i="206" s="1"/>
  <c r="R27" i="206" s="1"/>
  <c r="R28" i="206" s="1"/>
  <c r="R29" i="206" s="1"/>
  <c r="R30" i="206" s="1"/>
  <c r="R31" i="206" s="1"/>
  <c r="R32" i="206" s="1"/>
  <c r="R33" i="206" s="1"/>
  <c r="R34" i="206" s="1"/>
  <c r="R35" i="206" s="1"/>
  <c r="R36" i="206" s="1"/>
  <c r="R37" i="206" s="1"/>
  <c r="R38" i="206" s="1"/>
  <c r="R39" i="206" s="1"/>
  <c r="R40" i="206" s="1"/>
  <c r="R41" i="206" s="1"/>
  <c r="E29" i="163"/>
  <c r="F29" i="163"/>
  <c r="G29" i="163"/>
  <c r="H29" i="163"/>
  <c r="I29" i="163"/>
  <c r="J29" i="163"/>
  <c r="K29" i="163"/>
  <c r="L29" i="163"/>
  <c r="M29" i="163"/>
  <c r="N29" i="163"/>
  <c r="D29" i="163"/>
  <c r="A11" i="207"/>
  <c r="A12" i="207" s="1"/>
  <c r="A13" i="207" s="1"/>
  <c r="A14" i="207" s="1"/>
  <c r="A15" i="207" s="1"/>
  <c r="A16" i="207" s="1"/>
  <c r="A17" i="207" s="1"/>
  <c r="A18" i="207" s="1"/>
  <c r="A19" i="207" s="1"/>
  <c r="A20" i="207" s="1"/>
  <c r="A21" i="207" s="1"/>
  <c r="A22" i="207" s="1"/>
  <c r="A23" i="207" s="1"/>
  <c r="G10" i="207"/>
  <c r="G11" i="207" s="1"/>
  <c r="G12" i="207" s="1"/>
  <c r="G13" i="207" s="1"/>
  <c r="G14" i="207" s="1"/>
  <c r="G15" i="207" s="1"/>
  <c r="G16" i="207" s="1"/>
  <c r="G17" i="207" s="1"/>
  <c r="G18" i="207" s="1"/>
  <c r="G19" i="207" s="1"/>
  <c r="G20" i="207" s="1"/>
  <c r="G21" i="207" s="1"/>
  <c r="G22" i="207" s="1"/>
  <c r="G23" i="207" s="1"/>
  <c r="C51" i="112"/>
  <c r="C49" i="112"/>
  <c r="B49" i="112"/>
  <c r="B47" i="112"/>
  <c r="B45" i="112"/>
  <c r="B43" i="112"/>
  <c r="B41" i="112"/>
  <c r="B39" i="112"/>
  <c r="B37" i="112"/>
  <c r="C45" i="112"/>
  <c r="C41" i="112"/>
  <c r="C39" i="112"/>
  <c r="A12" i="112"/>
  <c r="A13" i="112" s="1"/>
  <c r="A14" i="112" s="1"/>
  <c r="A15" i="112" s="1"/>
  <c r="A16" i="112" s="1"/>
  <c r="A17" i="112" s="1"/>
  <c r="A18" i="112" s="1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A29" i="112" s="1"/>
  <c r="A30" i="112" s="1"/>
  <c r="A36" i="112" s="1"/>
  <c r="A37" i="112" s="1"/>
  <c r="A38" i="112" s="1"/>
  <c r="A39" i="112" s="1"/>
  <c r="A40" i="112" s="1"/>
  <c r="A41" i="112" s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A54" i="112" s="1"/>
  <c r="A55" i="112" s="1"/>
  <c r="A56" i="112" s="1"/>
  <c r="A57" i="112" s="1"/>
  <c r="A58" i="112" s="1"/>
  <c r="F11" i="112"/>
  <c r="F12" i="112" s="1"/>
  <c r="F13" i="112" s="1"/>
  <c r="F14" i="112" s="1"/>
  <c r="F15" i="112" s="1"/>
  <c r="F16" i="112" s="1"/>
  <c r="F17" i="112" s="1"/>
  <c r="F18" i="112" s="1"/>
  <c r="F19" i="112" s="1"/>
  <c r="F20" i="112" s="1"/>
  <c r="F21" i="112" s="1"/>
  <c r="F22" i="112" s="1"/>
  <c r="F23" i="112" s="1"/>
  <c r="F24" i="112" s="1"/>
  <c r="F25" i="112" s="1"/>
  <c r="F26" i="112" s="1"/>
  <c r="F27" i="112" s="1"/>
  <c r="F28" i="112" s="1"/>
  <c r="F29" i="112" s="1"/>
  <c r="F30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F54" i="112" s="1"/>
  <c r="F55" i="112" s="1"/>
  <c r="F56" i="112" s="1"/>
  <c r="F57" i="112" s="1"/>
  <c r="F58" i="112" s="1"/>
  <c r="C37" i="112"/>
  <c r="C53" i="112" s="1"/>
  <c r="C57" i="112" s="1"/>
  <c r="B96" i="205"/>
  <c r="E163" i="205"/>
  <c r="E113" i="205"/>
  <c r="E151" i="205" s="1"/>
  <c r="E153" i="205" s="1"/>
  <c r="E134" i="205" s="1"/>
  <c r="H109" i="205"/>
  <c r="H110" i="205" s="1"/>
  <c r="H111" i="205" s="1"/>
  <c r="H112" i="205" s="1"/>
  <c r="H113" i="205" s="1"/>
  <c r="H114" i="205" s="1"/>
  <c r="H115" i="205" s="1"/>
  <c r="H116" i="205" s="1"/>
  <c r="H117" i="205" s="1"/>
  <c r="H118" i="205" s="1"/>
  <c r="H119" i="205" s="1"/>
  <c r="H120" i="205" s="1"/>
  <c r="H121" i="205" s="1"/>
  <c r="H122" i="205" s="1"/>
  <c r="H123" i="205" s="1"/>
  <c r="H124" i="205" s="1"/>
  <c r="H125" i="205" s="1"/>
  <c r="H126" i="205" s="1"/>
  <c r="H127" i="205" s="1"/>
  <c r="H128" i="205" s="1"/>
  <c r="H129" i="205" s="1"/>
  <c r="H130" i="205" s="1"/>
  <c r="H131" i="205" s="1"/>
  <c r="H132" i="205" s="1"/>
  <c r="H133" i="205" s="1"/>
  <c r="H134" i="205" s="1"/>
  <c r="H135" i="205" s="1"/>
  <c r="H136" i="205" s="1"/>
  <c r="H137" i="205" s="1"/>
  <c r="H138" i="205" s="1"/>
  <c r="H139" i="205" s="1"/>
  <c r="H140" i="205" s="1"/>
  <c r="H141" i="205" s="1"/>
  <c r="H142" i="205" s="1"/>
  <c r="H143" i="205" s="1"/>
  <c r="H144" i="205" s="1"/>
  <c r="H145" i="205" s="1"/>
  <c r="H146" i="205" s="1"/>
  <c r="H147" i="205" s="1"/>
  <c r="H148" i="205" s="1"/>
  <c r="H149" i="205" s="1"/>
  <c r="H150" i="205" s="1"/>
  <c r="H151" i="205" s="1"/>
  <c r="H152" i="205" s="1"/>
  <c r="H153" i="205" s="1"/>
  <c r="H154" i="205" s="1"/>
  <c r="H155" i="205" s="1"/>
  <c r="H156" i="205" s="1"/>
  <c r="H157" i="205" s="1"/>
  <c r="H158" i="205" s="1"/>
  <c r="H159" i="205" s="1"/>
  <c r="H160" i="205" s="1"/>
  <c r="H161" i="205" s="1"/>
  <c r="H162" i="205" s="1"/>
  <c r="H163" i="205" s="1"/>
  <c r="H164" i="205" s="1"/>
  <c r="H165" i="205" s="1"/>
  <c r="A109" i="205"/>
  <c r="A110" i="205" s="1"/>
  <c r="A111" i="205" s="1"/>
  <c r="A112" i="205" s="1"/>
  <c r="A113" i="205" s="1"/>
  <c r="A114" i="205" s="1"/>
  <c r="A115" i="205" s="1"/>
  <c r="A116" i="205" s="1"/>
  <c r="A117" i="205" s="1"/>
  <c r="A118" i="205" s="1"/>
  <c r="A119" i="205" s="1"/>
  <c r="A120" i="205" s="1"/>
  <c r="A121" i="205" s="1"/>
  <c r="A122" i="205" s="1"/>
  <c r="A123" i="205" s="1"/>
  <c r="A124" i="205" s="1"/>
  <c r="A125" i="205" s="1"/>
  <c r="A126" i="205" s="1"/>
  <c r="A127" i="205" s="1"/>
  <c r="A128" i="205" s="1"/>
  <c r="A129" i="205" s="1"/>
  <c r="A130" i="205" s="1"/>
  <c r="A131" i="205" s="1"/>
  <c r="A132" i="205" s="1"/>
  <c r="A133" i="205" s="1"/>
  <c r="A134" i="205" s="1"/>
  <c r="A135" i="205" s="1"/>
  <c r="A136" i="205" s="1"/>
  <c r="A137" i="205" s="1"/>
  <c r="A138" i="205" s="1"/>
  <c r="A139" i="205" s="1"/>
  <c r="A140" i="205" s="1"/>
  <c r="A141" i="205" s="1"/>
  <c r="A142" i="205" s="1"/>
  <c r="A143" i="205" s="1"/>
  <c r="A144" i="205" s="1"/>
  <c r="A145" i="205" s="1"/>
  <c r="A146" i="205" s="1"/>
  <c r="A147" i="205" s="1"/>
  <c r="A148" i="205" s="1"/>
  <c r="A149" i="205" s="1"/>
  <c r="A150" i="205" s="1"/>
  <c r="A151" i="205" s="1"/>
  <c r="A152" i="205" s="1"/>
  <c r="A153" i="205" s="1"/>
  <c r="A154" i="205" s="1"/>
  <c r="A155" i="205" s="1"/>
  <c r="A156" i="205" s="1"/>
  <c r="A157" i="205" s="1"/>
  <c r="A158" i="205" s="1"/>
  <c r="A159" i="205" s="1"/>
  <c r="A160" i="205" s="1"/>
  <c r="A161" i="205" s="1"/>
  <c r="A162" i="205" s="1"/>
  <c r="A163" i="205" s="1"/>
  <c r="A164" i="205" s="1"/>
  <c r="A165" i="205" s="1"/>
  <c r="H108" i="205"/>
  <c r="B102" i="205"/>
  <c r="E77" i="205"/>
  <c r="E67" i="205"/>
  <c r="E65" i="205"/>
  <c r="E14" i="205" s="1"/>
  <c r="E61" i="205"/>
  <c r="A57" i="205"/>
  <c r="A58" i="205" s="1"/>
  <c r="A59" i="205" s="1"/>
  <c r="A60" i="205" s="1"/>
  <c r="A61" i="205" s="1"/>
  <c r="A62" i="205" s="1"/>
  <c r="A63" i="205" s="1"/>
  <c r="A64" i="205" s="1"/>
  <c r="A65" i="205" s="1"/>
  <c r="A66" i="205" s="1"/>
  <c r="A67" i="205" s="1"/>
  <c r="A68" i="205" s="1"/>
  <c r="A69" i="205" s="1"/>
  <c r="A70" i="205" s="1"/>
  <c r="A71" i="205" s="1"/>
  <c r="A72" i="205" s="1"/>
  <c r="A73" i="205" s="1"/>
  <c r="A74" i="205" s="1"/>
  <c r="A75" i="205" s="1"/>
  <c r="A76" i="205" s="1"/>
  <c r="A77" i="205" s="1"/>
  <c r="A78" i="205" s="1"/>
  <c r="A79" i="205" s="1"/>
  <c r="A80" i="205" s="1"/>
  <c r="A81" i="205" s="1"/>
  <c r="A82" i="205" s="1"/>
  <c r="A83" i="205" s="1"/>
  <c r="A84" i="205" s="1"/>
  <c r="A85" i="205" s="1"/>
  <c r="A86" i="205" s="1"/>
  <c r="A87" i="205" s="1"/>
  <c r="A88" i="205" s="1"/>
  <c r="A89" i="205" s="1"/>
  <c r="A90" i="205" s="1"/>
  <c r="A91" i="205" s="1"/>
  <c r="A92" i="205" s="1"/>
  <c r="A93" i="205" s="1"/>
  <c r="H56" i="205"/>
  <c r="H57" i="205" s="1"/>
  <c r="H58" i="205" s="1"/>
  <c r="H59" i="205" s="1"/>
  <c r="H60" i="205" s="1"/>
  <c r="H61" i="205" s="1"/>
  <c r="H62" i="205" s="1"/>
  <c r="H63" i="205" s="1"/>
  <c r="H64" i="205" s="1"/>
  <c r="H65" i="205" s="1"/>
  <c r="H66" i="205" s="1"/>
  <c r="H67" i="205" s="1"/>
  <c r="H68" i="205" s="1"/>
  <c r="H69" i="205" s="1"/>
  <c r="H70" i="205" s="1"/>
  <c r="H71" i="205" s="1"/>
  <c r="H72" i="205" s="1"/>
  <c r="H73" i="205" s="1"/>
  <c r="H74" i="205" s="1"/>
  <c r="H75" i="205" s="1"/>
  <c r="H76" i="205" s="1"/>
  <c r="H77" i="205" s="1"/>
  <c r="H78" i="205" s="1"/>
  <c r="H79" i="205" s="1"/>
  <c r="H80" i="205" s="1"/>
  <c r="H81" i="205" s="1"/>
  <c r="H82" i="205" s="1"/>
  <c r="H83" i="205" s="1"/>
  <c r="H84" i="205" s="1"/>
  <c r="H85" i="205" s="1"/>
  <c r="H86" i="205" s="1"/>
  <c r="H87" i="205" s="1"/>
  <c r="H88" i="205" s="1"/>
  <c r="H89" i="205" s="1"/>
  <c r="H90" i="205" s="1"/>
  <c r="H91" i="205" s="1"/>
  <c r="H92" i="205" s="1"/>
  <c r="H93" i="205" s="1"/>
  <c r="B50" i="205"/>
  <c r="E18" i="205"/>
  <c r="E12" i="205"/>
  <c r="A12" i="205"/>
  <c r="A13" i="205" s="1"/>
  <c r="A14" i="205" s="1"/>
  <c r="A15" i="205" s="1"/>
  <c r="A16" i="205" s="1"/>
  <c r="A17" i="205" s="1"/>
  <c r="A18" i="205" s="1"/>
  <c r="A19" i="205" s="1"/>
  <c r="A20" i="205" s="1"/>
  <c r="A21" i="205" s="1"/>
  <c r="A22" i="205" s="1"/>
  <c r="A23" i="205" s="1"/>
  <c r="A24" i="205" s="1"/>
  <c r="A25" i="205" s="1"/>
  <c r="A26" i="205" s="1"/>
  <c r="A27" i="205" s="1"/>
  <c r="A28" i="205" s="1"/>
  <c r="A29" i="205" s="1"/>
  <c r="A30" i="205" s="1"/>
  <c r="A31" i="205" s="1"/>
  <c r="A32" i="205" s="1"/>
  <c r="A33" i="205" s="1"/>
  <c r="A34" i="205" s="1"/>
  <c r="A35" i="205" s="1"/>
  <c r="A36" i="205" s="1"/>
  <c r="A37" i="205" s="1"/>
  <c r="A38" i="205" s="1"/>
  <c r="A39" i="205" s="1"/>
  <c r="A40" i="205" s="1"/>
  <c r="A41" i="205" s="1"/>
  <c r="H11" i="205"/>
  <c r="H12" i="205" s="1"/>
  <c r="H13" i="205" s="1"/>
  <c r="H14" i="205" s="1"/>
  <c r="H15" i="205" s="1"/>
  <c r="H16" i="205" s="1"/>
  <c r="H17" i="205" s="1"/>
  <c r="H18" i="205" s="1"/>
  <c r="H19" i="205" s="1"/>
  <c r="H20" i="205" s="1"/>
  <c r="H21" i="205" s="1"/>
  <c r="H22" i="205" s="1"/>
  <c r="H23" i="205" s="1"/>
  <c r="H24" i="205" s="1"/>
  <c r="H25" i="205" s="1"/>
  <c r="H26" i="205" s="1"/>
  <c r="H27" i="205" s="1"/>
  <c r="H28" i="205" s="1"/>
  <c r="H29" i="205" s="1"/>
  <c r="H30" i="205" s="1"/>
  <c r="H31" i="205" s="1"/>
  <c r="H32" i="205" s="1"/>
  <c r="H33" i="205" s="1"/>
  <c r="H34" i="205" s="1"/>
  <c r="H35" i="205" s="1"/>
  <c r="H36" i="205" s="1"/>
  <c r="H37" i="205" s="1"/>
  <c r="H38" i="205" s="1"/>
  <c r="H39" i="205" s="1"/>
  <c r="H40" i="205" s="1"/>
  <c r="H41" i="205" s="1"/>
  <c r="I42" i="199"/>
  <c r="I43" i="199" s="1"/>
  <c r="I44" i="199" s="1"/>
  <c r="A42" i="199"/>
  <c r="A43" i="199" s="1"/>
  <c r="M28" i="201"/>
  <c r="M13" i="201"/>
  <c r="M14" i="201"/>
  <c r="M15" i="201"/>
  <c r="M16" i="201"/>
  <c r="M17" i="201"/>
  <c r="M18" i="201"/>
  <c r="M19" i="201"/>
  <c r="M20" i="201"/>
  <c r="M21" i="201"/>
  <c r="M22" i="201"/>
  <c r="M23" i="201"/>
  <c r="M24" i="201"/>
  <c r="M12" i="201"/>
  <c r="M11" i="201"/>
  <c r="O24" i="206" l="1"/>
  <c r="B49" i="206"/>
  <c r="B48" i="206"/>
  <c r="B47" i="206"/>
  <c r="A31" i="206"/>
  <c r="A32" i="206" s="1"/>
  <c r="A33" i="206" s="1"/>
  <c r="A34" i="206" s="1"/>
  <c r="A35" i="206" s="1"/>
  <c r="A36" i="206" s="1"/>
  <c r="A37" i="206" s="1"/>
  <c r="A38" i="206" s="1"/>
  <c r="A39" i="206" s="1"/>
  <c r="A40" i="206" s="1"/>
  <c r="A41" i="206" s="1"/>
  <c r="O26" i="206"/>
  <c r="C25" i="112"/>
  <c r="C29" i="112" s="1"/>
  <c r="A59" i="201"/>
  <c r="A60" i="201" s="1"/>
  <c r="M26" i="201"/>
  <c r="M30" i="201" s="1"/>
  <c r="K26" i="201"/>
  <c r="K30" i="201" s="1"/>
  <c r="F42" i="199" s="1"/>
  <c r="F43" i="199" s="1"/>
  <c r="C89" i="204"/>
  <c r="C83" i="204"/>
  <c r="C82" i="204"/>
  <c r="C14" i="204" s="1"/>
  <c r="C81" i="204"/>
  <c r="C13" i="204" s="1"/>
  <c r="C80" i="204"/>
  <c r="C77" i="204"/>
  <c r="C70" i="204"/>
  <c r="A67" i="204"/>
  <c r="A68" i="204" s="1"/>
  <c r="A69" i="204" s="1"/>
  <c r="A70" i="204" s="1"/>
  <c r="A71" i="204" s="1"/>
  <c r="A72" i="204" s="1"/>
  <c r="A73" i="204" s="1"/>
  <c r="A74" i="204" s="1"/>
  <c r="A75" i="204" s="1"/>
  <c r="A76" i="204" s="1"/>
  <c r="A77" i="204" s="1"/>
  <c r="A78" i="204" s="1"/>
  <c r="A79" i="204" s="1"/>
  <c r="A80" i="204" s="1"/>
  <c r="A81" i="204" s="1"/>
  <c r="A82" i="204" s="1"/>
  <c r="A83" i="204" s="1"/>
  <c r="A84" i="204" s="1"/>
  <c r="A85" i="204" s="1"/>
  <c r="A86" i="204" s="1"/>
  <c r="A87" i="204" s="1"/>
  <c r="A88" i="204" s="1"/>
  <c r="A89" i="204" s="1"/>
  <c r="A66" i="204"/>
  <c r="F65" i="204"/>
  <c r="F66" i="204" s="1"/>
  <c r="F67" i="204" s="1"/>
  <c r="F68" i="204" s="1"/>
  <c r="F69" i="204" s="1"/>
  <c r="F70" i="204" s="1"/>
  <c r="F71" i="204" s="1"/>
  <c r="F72" i="204" s="1"/>
  <c r="F73" i="204" s="1"/>
  <c r="F74" i="204" s="1"/>
  <c r="F75" i="204" s="1"/>
  <c r="F76" i="204" s="1"/>
  <c r="F77" i="204" s="1"/>
  <c r="F78" i="204" s="1"/>
  <c r="F79" i="204" s="1"/>
  <c r="F80" i="204" s="1"/>
  <c r="F81" i="204" s="1"/>
  <c r="F82" i="204" s="1"/>
  <c r="F83" i="204" s="1"/>
  <c r="F84" i="204" s="1"/>
  <c r="F85" i="204" s="1"/>
  <c r="F86" i="204" s="1"/>
  <c r="F87" i="204" s="1"/>
  <c r="F88" i="204" s="1"/>
  <c r="F89" i="204" s="1"/>
  <c r="B58" i="204"/>
  <c r="C46" i="204"/>
  <c r="C39" i="204"/>
  <c r="C41" i="204" s="1"/>
  <c r="C26" i="204"/>
  <c r="C21" i="204"/>
  <c r="C15" i="204"/>
  <c r="A13" i="204"/>
  <c r="A14" i="204" s="1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A26" i="204" s="1"/>
  <c r="A27" i="204" s="1"/>
  <c r="A28" i="204" s="1"/>
  <c r="A29" i="204" s="1"/>
  <c r="A30" i="204" s="1"/>
  <c r="A31" i="204" s="1"/>
  <c r="A32" i="204" s="1"/>
  <c r="A33" i="204" s="1"/>
  <c r="A34" i="204" s="1"/>
  <c r="A35" i="204" s="1"/>
  <c r="A36" i="204" s="1"/>
  <c r="A37" i="204" s="1"/>
  <c r="A38" i="204" s="1"/>
  <c r="A39" i="204" s="1"/>
  <c r="A40" i="204" s="1"/>
  <c r="A41" i="204" s="1"/>
  <c r="A42" i="204" s="1"/>
  <c r="A43" i="204" s="1"/>
  <c r="A44" i="204" s="1"/>
  <c r="A45" i="204" s="1"/>
  <c r="A46" i="204" s="1"/>
  <c r="A47" i="204" s="1"/>
  <c r="A48" i="204" s="1"/>
  <c r="C12" i="204"/>
  <c r="A12" i="204"/>
  <c r="F11" i="204"/>
  <c r="F12" i="204" s="1"/>
  <c r="F13" i="204" s="1"/>
  <c r="F14" i="204" s="1"/>
  <c r="F15" i="204" s="1"/>
  <c r="F16" i="204" s="1"/>
  <c r="F17" i="204" s="1"/>
  <c r="F18" i="204" s="1"/>
  <c r="F19" i="204" s="1"/>
  <c r="F20" i="204" s="1"/>
  <c r="F21" i="204" s="1"/>
  <c r="F22" i="204" s="1"/>
  <c r="F23" i="204" s="1"/>
  <c r="F24" i="204" s="1"/>
  <c r="F25" i="204" s="1"/>
  <c r="F26" i="204" s="1"/>
  <c r="F27" i="204" s="1"/>
  <c r="F28" i="204" s="1"/>
  <c r="F29" i="204" s="1"/>
  <c r="F30" i="204" s="1"/>
  <c r="F31" i="204" s="1"/>
  <c r="F32" i="204" s="1"/>
  <c r="F33" i="204" s="1"/>
  <c r="F34" i="204" s="1"/>
  <c r="F35" i="204" s="1"/>
  <c r="F36" i="204" s="1"/>
  <c r="F37" i="204" s="1"/>
  <c r="F38" i="204" s="1"/>
  <c r="F39" i="204" s="1"/>
  <c r="F40" i="204" s="1"/>
  <c r="F41" i="204" s="1"/>
  <c r="F42" i="204" s="1"/>
  <c r="F43" i="204" s="1"/>
  <c r="F44" i="204" s="1"/>
  <c r="F45" i="204" s="1"/>
  <c r="F46" i="204" s="1"/>
  <c r="F47" i="204" s="1"/>
  <c r="F48" i="204" s="1"/>
  <c r="G149" i="203"/>
  <c r="B149" i="203"/>
  <c r="B148" i="203"/>
  <c r="G146" i="203"/>
  <c r="B146" i="203"/>
  <c r="B145" i="203"/>
  <c r="G137" i="203"/>
  <c r="B137" i="203"/>
  <c r="G147" i="203"/>
  <c r="B134" i="203"/>
  <c r="B133" i="203"/>
  <c r="J130" i="203"/>
  <c r="J131" i="203" s="1"/>
  <c r="J132" i="203" s="1"/>
  <c r="J133" i="203" s="1"/>
  <c r="J134" i="203" s="1"/>
  <c r="J135" i="203" s="1"/>
  <c r="J136" i="203" s="1"/>
  <c r="J137" i="203" s="1"/>
  <c r="J138" i="203" s="1"/>
  <c r="J139" i="203" s="1"/>
  <c r="J140" i="203" s="1"/>
  <c r="J141" i="203" s="1"/>
  <c r="J142" i="203" s="1"/>
  <c r="J143" i="203" s="1"/>
  <c r="J144" i="203" s="1"/>
  <c r="J145" i="203" s="1"/>
  <c r="J146" i="203" s="1"/>
  <c r="J147" i="203" s="1"/>
  <c r="J148" i="203" s="1"/>
  <c r="J149" i="203" s="1"/>
  <c r="J150" i="203" s="1"/>
  <c r="J151" i="203" s="1"/>
  <c r="J152" i="203" s="1"/>
  <c r="J153" i="203" s="1"/>
  <c r="J154" i="203" s="1"/>
  <c r="J155" i="203" s="1"/>
  <c r="J156" i="203" s="1"/>
  <c r="J157" i="203" s="1"/>
  <c r="J158" i="203" s="1"/>
  <c r="J129" i="203"/>
  <c r="A129" i="203"/>
  <c r="A130" i="203" s="1"/>
  <c r="A131" i="203" s="1"/>
  <c r="A132" i="203" s="1"/>
  <c r="A133" i="203" s="1"/>
  <c r="A134" i="203" s="1"/>
  <c r="A135" i="203" s="1"/>
  <c r="A136" i="203" s="1"/>
  <c r="A137" i="203" s="1"/>
  <c r="A138" i="203" s="1"/>
  <c r="A139" i="203" s="1"/>
  <c r="A140" i="203" s="1"/>
  <c r="A141" i="203" s="1"/>
  <c r="A142" i="203" s="1"/>
  <c r="A143" i="203" s="1"/>
  <c r="A144" i="203" s="1"/>
  <c r="A145" i="203" s="1"/>
  <c r="A146" i="203" s="1"/>
  <c r="A147" i="203" s="1"/>
  <c r="A148" i="203" s="1"/>
  <c r="A149" i="203" s="1"/>
  <c r="A150" i="203" s="1"/>
  <c r="A151" i="203" s="1"/>
  <c r="A152" i="203" s="1"/>
  <c r="A153" i="203" s="1"/>
  <c r="A154" i="203" s="1"/>
  <c r="A155" i="203" s="1"/>
  <c r="A156" i="203" s="1"/>
  <c r="A157" i="203" s="1"/>
  <c r="A158" i="203" s="1"/>
  <c r="B161" i="203" s="1"/>
  <c r="B122" i="203"/>
  <c r="B115" i="203"/>
  <c r="G100" i="203"/>
  <c r="J83" i="203"/>
  <c r="J84" i="203" s="1"/>
  <c r="J85" i="203" s="1"/>
  <c r="J86" i="203" s="1"/>
  <c r="J87" i="203" s="1"/>
  <c r="J88" i="203" s="1"/>
  <c r="J89" i="203" s="1"/>
  <c r="J90" i="203" s="1"/>
  <c r="J91" i="203" s="1"/>
  <c r="J92" i="203" s="1"/>
  <c r="J93" i="203" s="1"/>
  <c r="J94" i="203" s="1"/>
  <c r="J95" i="203" s="1"/>
  <c r="J96" i="203" s="1"/>
  <c r="J97" i="203" s="1"/>
  <c r="J98" i="203" s="1"/>
  <c r="J99" i="203" s="1"/>
  <c r="J100" i="203" s="1"/>
  <c r="J101" i="203" s="1"/>
  <c r="J102" i="203" s="1"/>
  <c r="J103" i="203" s="1"/>
  <c r="J104" i="203" s="1"/>
  <c r="J105" i="203" s="1"/>
  <c r="J106" i="203" s="1"/>
  <c r="J107" i="203" s="1"/>
  <c r="J108" i="203" s="1"/>
  <c r="J109" i="203" s="1"/>
  <c r="J110" i="203" s="1"/>
  <c r="J111" i="203" s="1"/>
  <c r="J112" i="203" s="1"/>
  <c r="A83" i="203"/>
  <c r="A84" i="203" s="1"/>
  <c r="A85" i="203" s="1"/>
  <c r="A86" i="203" s="1"/>
  <c r="A87" i="203" s="1"/>
  <c r="A88" i="203" s="1"/>
  <c r="A89" i="203" s="1"/>
  <c r="A90" i="203" s="1"/>
  <c r="A91" i="203" s="1"/>
  <c r="A92" i="203" s="1"/>
  <c r="A93" i="203" s="1"/>
  <c r="A94" i="203" s="1"/>
  <c r="A95" i="203" s="1"/>
  <c r="A96" i="203" s="1"/>
  <c r="A97" i="203" s="1"/>
  <c r="A98" i="203" s="1"/>
  <c r="A99" i="203" s="1"/>
  <c r="A100" i="203" s="1"/>
  <c r="A101" i="203" s="1"/>
  <c r="A102" i="203" s="1"/>
  <c r="A103" i="203" s="1"/>
  <c r="A104" i="203" s="1"/>
  <c r="A105" i="203" s="1"/>
  <c r="A106" i="203" s="1"/>
  <c r="A107" i="203" s="1"/>
  <c r="A108" i="203" s="1"/>
  <c r="A109" i="203" s="1"/>
  <c r="A110" i="203" s="1"/>
  <c r="A111" i="203" s="1"/>
  <c r="A112" i="203" s="1"/>
  <c r="B76" i="203"/>
  <c r="E62" i="203"/>
  <c r="C61" i="203"/>
  <c r="E49" i="203"/>
  <c r="C48" i="203"/>
  <c r="C47" i="203"/>
  <c r="G36" i="203"/>
  <c r="G39" i="203" s="1"/>
  <c r="G32" i="203"/>
  <c r="E48" i="203" s="1"/>
  <c r="G25" i="203"/>
  <c r="G27" i="203" s="1"/>
  <c r="G17" i="203"/>
  <c r="C60" i="203" s="1"/>
  <c r="J12" i="203"/>
  <c r="J13" i="203" s="1"/>
  <c r="J14" i="203" s="1"/>
  <c r="J15" i="203" s="1"/>
  <c r="J16" i="203" s="1"/>
  <c r="J17" i="203" s="1"/>
  <c r="J18" i="203" s="1"/>
  <c r="J19" i="203" s="1"/>
  <c r="J20" i="203" s="1"/>
  <c r="J21" i="203" s="1"/>
  <c r="J22" i="203" s="1"/>
  <c r="J23" i="203" s="1"/>
  <c r="J24" i="203" s="1"/>
  <c r="J25" i="203" s="1"/>
  <c r="J26" i="203" s="1"/>
  <c r="J27" i="203" s="1"/>
  <c r="J28" i="203" s="1"/>
  <c r="J29" i="203" s="1"/>
  <c r="J30" i="203" s="1"/>
  <c r="J31" i="203" s="1"/>
  <c r="J32" i="203" s="1"/>
  <c r="J33" i="203" s="1"/>
  <c r="J34" i="203" s="1"/>
  <c r="J35" i="203" s="1"/>
  <c r="J36" i="203" s="1"/>
  <c r="J37" i="203" s="1"/>
  <c r="J38" i="203" s="1"/>
  <c r="J39" i="203" s="1"/>
  <c r="J40" i="203" s="1"/>
  <c r="J41" i="203" s="1"/>
  <c r="J42" i="203" s="1"/>
  <c r="J43" i="203" s="1"/>
  <c r="J44" i="203" s="1"/>
  <c r="J45" i="203" s="1"/>
  <c r="J46" i="203" s="1"/>
  <c r="J47" i="203" s="1"/>
  <c r="J48" i="203" s="1"/>
  <c r="J49" i="203" s="1"/>
  <c r="J50" i="203" s="1"/>
  <c r="J51" i="203" s="1"/>
  <c r="J52" i="203" s="1"/>
  <c r="J53" i="203" s="1"/>
  <c r="J54" i="203" s="1"/>
  <c r="J55" i="203" s="1"/>
  <c r="J56" i="203" s="1"/>
  <c r="J57" i="203" s="1"/>
  <c r="J58" i="203" s="1"/>
  <c r="J59" i="203" s="1"/>
  <c r="J60" i="203" s="1"/>
  <c r="J61" i="203" s="1"/>
  <c r="J62" i="203" s="1"/>
  <c r="J63" i="203" s="1"/>
  <c r="J64" i="203" s="1"/>
  <c r="J65" i="203" s="1"/>
  <c r="A12" i="203"/>
  <c r="A13" i="203" s="1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A41" i="203" s="1"/>
  <c r="A42" i="203" s="1"/>
  <c r="A43" i="203" s="1"/>
  <c r="A44" i="203" s="1"/>
  <c r="A45" i="203" s="1"/>
  <c r="A46" i="203" s="1"/>
  <c r="A47" i="203" s="1"/>
  <c r="A48" i="203" s="1"/>
  <c r="A49" i="203" s="1"/>
  <c r="A50" i="203" s="1"/>
  <c r="A51" i="203" s="1"/>
  <c r="A52" i="203" s="1"/>
  <c r="A53" i="203" s="1"/>
  <c r="A54" i="203" s="1"/>
  <c r="A55" i="203" s="1"/>
  <c r="J11" i="203"/>
  <c r="E28" i="202"/>
  <c r="E26" i="202"/>
  <c r="E30" i="202" s="1"/>
  <c r="G20" i="202"/>
  <c r="G16" i="202"/>
  <c r="A14" i="202"/>
  <c r="A15" i="202" s="1"/>
  <c r="A16" i="202" s="1"/>
  <c r="A17" i="202" s="1"/>
  <c r="A18" i="202" s="1"/>
  <c r="A19" i="202" s="1"/>
  <c r="A20" i="202" s="1"/>
  <c r="A21" i="202" s="1"/>
  <c r="A22" i="202" s="1"/>
  <c r="A23" i="202" s="1"/>
  <c r="A24" i="202" s="1"/>
  <c r="A25" i="202" s="1"/>
  <c r="A26" i="202" s="1"/>
  <c r="A27" i="202" s="1"/>
  <c r="A28" i="202" s="1"/>
  <c r="A29" i="202" s="1"/>
  <c r="A30" i="202" s="1"/>
  <c r="J13" i="202"/>
  <c r="J14" i="202" s="1"/>
  <c r="J15" i="202" s="1"/>
  <c r="J16" i="202" s="1"/>
  <c r="J17" i="202" s="1"/>
  <c r="J18" i="202" s="1"/>
  <c r="J19" i="202" s="1"/>
  <c r="J20" i="202" s="1"/>
  <c r="J21" i="202" s="1"/>
  <c r="J22" i="202" s="1"/>
  <c r="J23" i="202" s="1"/>
  <c r="J24" i="202" s="1"/>
  <c r="J25" i="202" s="1"/>
  <c r="J26" i="202" s="1"/>
  <c r="J27" i="202" s="1"/>
  <c r="J28" i="202" s="1"/>
  <c r="J29" i="202" s="1"/>
  <c r="J30" i="202" s="1"/>
  <c r="A13" i="202"/>
  <c r="J12" i="202"/>
  <c r="C16" i="204" l="1"/>
  <c r="C84" i="204"/>
  <c r="C63" i="203"/>
  <c r="E60" i="203"/>
  <c r="E47" i="203"/>
  <c r="A56" i="203"/>
  <c r="A57" i="203" s="1"/>
  <c r="A58" i="203" s="1"/>
  <c r="A59" i="203" s="1"/>
  <c r="A60" i="203" s="1"/>
  <c r="A61" i="203" s="1"/>
  <c r="A62" i="203" s="1"/>
  <c r="A63" i="203" s="1"/>
  <c r="A64" i="203" s="1"/>
  <c r="A65" i="203" s="1"/>
  <c r="B69" i="203" s="1"/>
  <c r="C62" i="203"/>
  <c r="C49" i="203"/>
  <c r="C50" i="203"/>
  <c r="D48" i="203" s="1"/>
  <c r="G48" i="203" s="1"/>
  <c r="E61" i="203"/>
  <c r="D61" i="203" l="1"/>
  <c r="G61" i="203" s="1"/>
  <c r="D62" i="203"/>
  <c r="G62" i="203" s="1"/>
  <c r="D60" i="203"/>
  <c r="D49" i="203"/>
  <c r="G49" i="203" s="1"/>
  <c r="G52" i="203" s="1"/>
  <c r="G87" i="203" s="1"/>
  <c r="D47" i="203"/>
  <c r="G99" i="203" l="1"/>
  <c r="D50" i="203"/>
  <c r="G47" i="203"/>
  <c r="G50" i="203" s="1"/>
  <c r="G110" i="203" s="1"/>
  <c r="G65" i="203"/>
  <c r="G133" i="203" s="1"/>
  <c r="D63" i="203"/>
  <c r="G60" i="203"/>
  <c r="G63" i="203" s="1"/>
  <c r="G156" i="203" s="1"/>
  <c r="G139" i="203" l="1"/>
  <c r="G148" i="203" s="1"/>
  <c r="G145" i="203"/>
  <c r="G151" i="203" l="1"/>
  <c r="G154" i="203" s="1"/>
  <c r="G158" i="203" s="1"/>
  <c r="E50" i="201" l="1"/>
  <c r="F28" i="201"/>
  <c r="J28" i="201" s="1"/>
  <c r="H26" i="201"/>
  <c r="H30" i="201" s="1"/>
  <c r="D26" i="201"/>
  <c r="D30" i="201" s="1"/>
  <c r="E24" i="201"/>
  <c r="F24" i="201" s="1"/>
  <c r="J24" i="201" s="1"/>
  <c r="F23" i="201"/>
  <c r="J23" i="201" s="1"/>
  <c r="E22" i="201"/>
  <c r="F22" i="201" s="1"/>
  <c r="J22" i="201" s="1"/>
  <c r="E21" i="201"/>
  <c r="F21" i="201" s="1"/>
  <c r="J21" i="201" s="1"/>
  <c r="F20" i="201"/>
  <c r="J20" i="201" s="1"/>
  <c r="E19" i="201"/>
  <c r="F19" i="201" s="1"/>
  <c r="J19" i="201" s="1"/>
  <c r="E18" i="201"/>
  <c r="F18" i="201" s="1"/>
  <c r="J18" i="201" s="1"/>
  <c r="E17" i="201"/>
  <c r="E16" i="201"/>
  <c r="F16" i="201" s="1"/>
  <c r="J16" i="201" s="1"/>
  <c r="F15" i="201"/>
  <c r="J15" i="201" s="1"/>
  <c r="F14" i="201"/>
  <c r="J14" i="201" s="1"/>
  <c r="F13" i="201"/>
  <c r="J13" i="201" s="1"/>
  <c r="E12" i="201"/>
  <c r="F12" i="201" s="1"/>
  <c r="A12" i="201"/>
  <c r="A13" i="201" s="1"/>
  <c r="A14" i="201" s="1"/>
  <c r="A15" i="201" s="1"/>
  <c r="A16" i="201" s="1"/>
  <c r="A17" i="201" s="1"/>
  <c r="A18" i="201" s="1"/>
  <c r="A19" i="201" s="1"/>
  <c r="A20" i="201" s="1"/>
  <c r="A21" i="201" s="1"/>
  <c r="A22" i="201" s="1"/>
  <c r="A23" i="201" s="1"/>
  <c r="A24" i="201" s="1"/>
  <c r="A25" i="201" s="1"/>
  <c r="A26" i="201" s="1"/>
  <c r="A27" i="201" s="1"/>
  <c r="A28" i="201" s="1"/>
  <c r="A29" i="201" s="1"/>
  <c r="A30" i="201" s="1"/>
  <c r="A31" i="201" s="1"/>
  <c r="A32" i="201" s="1"/>
  <c r="A33" i="201" s="1"/>
  <c r="A34" i="201" s="1"/>
  <c r="A35" i="201" s="1"/>
  <c r="A36" i="201" s="1"/>
  <c r="A37" i="201" s="1"/>
  <c r="A38" i="201" s="1"/>
  <c r="A39" i="201" s="1"/>
  <c r="A40" i="201" s="1"/>
  <c r="A41" i="201" s="1"/>
  <c r="A42" i="201" s="1"/>
  <c r="O11" i="201"/>
  <c r="O12" i="201" s="1"/>
  <c r="O13" i="201" s="1"/>
  <c r="O14" i="201" s="1"/>
  <c r="O15" i="201" s="1"/>
  <c r="O16" i="201" s="1"/>
  <c r="O17" i="201" s="1"/>
  <c r="O18" i="201" s="1"/>
  <c r="O19" i="201" s="1"/>
  <c r="O20" i="201" s="1"/>
  <c r="O21" i="201" s="1"/>
  <c r="O22" i="201" s="1"/>
  <c r="O23" i="201" s="1"/>
  <c r="O24" i="201" s="1"/>
  <c r="O25" i="201" s="1"/>
  <c r="O26" i="201" s="1"/>
  <c r="O27" i="201" s="1"/>
  <c r="O28" i="201" s="1"/>
  <c r="O29" i="201" s="1"/>
  <c r="O30" i="201" s="1"/>
  <c r="O31" i="201" s="1"/>
  <c r="O32" i="201" s="1"/>
  <c r="O33" i="201" s="1"/>
  <c r="O34" i="201" s="1"/>
  <c r="O35" i="201" s="1"/>
  <c r="O36" i="201" s="1"/>
  <c r="O37" i="201" s="1"/>
  <c r="O38" i="201" s="1"/>
  <c r="O39" i="201" s="1"/>
  <c r="O40" i="201" s="1"/>
  <c r="O41" i="201" s="1"/>
  <c r="O42" i="201" s="1"/>
  <c r="O45" i="201" s="1"/>
  <c r="O46" i="201" s="1"/>
  <c r="O47" i="201" s="1"/>
  <c r="O48" i="201" s="1"/>
  <c r="O49" i="201" s="1"/>
  <c r="O50" i="201" s="1"/>
  <c r="O51" i="201" s="1"/>
  <c r="O52" i="201" s="1"/>
  <c r="O53" i="201" s="1"/>
  <c r="O54" i="201" s="1"/>
  <c r="O55" i="201" s="1"/>
  <c r="O56" i="201" s="1"/>
  <c r="O57" i="201" s="1"/>
  <c r="O58" i="201" s="1"/>
  <c r="O59" i="201" s="1"/>
  <c r="O60" i="201" s="1"/>
  <c r="F11" i="201"/>
  <c r="J11" i="201" s="1"/>
  <c r="F58" i="199"/>
  <c r="F66" i="199" s="1"/>
  <c r="A12" i="199"/>
  <c r="A13" i="199" s="1"/>
  <c r="A14" i="199" s="1"/>
  <c r="A15" i="199" s="1"/>
  <c r="A16" i="199" s="1"/>
  <c r="A17" i="199" s="1"/>
  <c r="A18" i="199" s="1"/>
  <c r="A19" i="199" s="1"/>
  <c r="A20" i="199" s="1"/>
  <c r="A21" i="199" s="1"/>
  <c r="A22" i="199" s="1"/>
  <c r="A23" i="199" s="1"/>
  <c r="A24" i="199" s="1"/>
  <c r="A25" i="199" s="1"/>
  <c r="A26" i="199" s="1"/>
  <c r="A27" i="199" s="1"/>
  <c r="A28" i="199" s="1"/>
  <c r="A29" i="199" s="1"/>
  <c r="A30" i="199" s="1"/>
  <c r="A31" i="199" s="1"/>
  <c r="A32" i="199" s="1"/>
  <c r="A33" i="199" s="1"/>
  <c r="A34" i="199" s="1"/>
  <c r="A35" i="199" s="1"/>
  <c r="A36" i="199" s="1"/>
  <c r="A37" i="199" s="1"/>
  <c r="A38" i="199" s="1"/>
  <c r="A39" i="199" s="1"/>
  <c r="A40" i="199" s="1"/>
  <c r="A41" i="199" s="1"/>
  <c r="A44" i="199" s="1"/>
  <c r="A45" i="199" s="1"/>
  <c r="A46" i="199" s="1"/>
  <c r="A47" i="199" s="1"/>
  <c r="A48" i="199" s="1"/>
  <c r="A49" i="199" s="1"/>
  <c r="A50" i="199" s="1"/>
  <c r="A51" i="199" s="1"/>
  <c r="A52" i="199" s="1"/>
  <c r="A53" i="199" s="1"/>
  <c r="A54" i="199" s="1"/>
  <c r="A55" i="199" s="1"/>
  <c r="A56" i="199" s="1"/>
  <c r="A57" i="199" s="1"/>
  <c r="A58" i="199" s="1"/>
  <c r="A59" i="199" s="1"/>
  <c r="A60" i="199" s="1"/>
  <c r="A61" i="199" s="1"/>
  <c r="A62" i="199" s="1"/>
  <c r="A63" i="199" s="1"/>
  <c r="A64" i="199" s="1"/>
  <c r="A65" i="199" s="1"/>
  <c r="A66" i="199" s="1"/>
  <c r="A67" i="199" s="1"/>
  <c r="A68" i="199" s="1"/>
  <c r="I11" i="199"/>
  <c r="I12" i="199" s="1"/>
  <c r="I13" i="199" s="1"/>
  <c r="I14" i="199" s="1"/>
  <c r="I15" i="199" s="1"/>
  <c r="I16" i="199" s="1"/>
  <c r="I17" i="199" s="1"/>
  <c r="I18" i="199" s="1"/>
  <c r="I19" i="199" s="1"/>
  <c r="I20" i="199" s="1"/>
  <c r="I21" i="199" s="1"/>
  <c r="I22" i="199" s="1"/>
  <c r="I23" i="199" s="1"/>
  <c r="I24" i="199" s="1"/>
  <c r="I25" i="199" s="1"/>
  <c r="I26" i="199" s="1"/>
  <c r="I27" i="199" s="1"/>
  <c r="I28" i="199" s="1"/>
  <c r="I29" i="199" s="1"/>
  <c r="I30" i="199" s="1"/>
  <c r="I31" i="199" s="1"/>
  <c r="I32" i="199" s="1"/>
  <c r="I33" i="199" s="1"/>
  <c r="I34" i="199" s="1"/>
  <c r="I35" i="199" s="1"/>
  <c r="I36" i="199" s="1"/>
  <c r="I37" i="199" s="1"/>
  <c r="I38" i="199" s="1"/>
  <c r="I39" i="199" s="1"/>
  <c r="I40" i="199" s="1"/>
  <c r="I41" i="199" s="1"/>
  <c r="I45" i="199" s="1"/>
  <c r="I46" i="199" s="1"/>
  <c r="I47" i="199" s="1"/>
  <c r="I48" i="199" s="1"/>
  <c r="I49" i="199" s="1"/>
  <c r="I50" i="199" s="1"/>
  <c r="I51" i="199" s="1"/>
  <c r="I52" i="199" s="1"/>
  <c r="I53" i="199" s="1"/>
  <c r="I54" i="199" s="1"/>
  <c r="I55" i="199" s="1"/>
  <c r="I56" i="199" s="1"/>
  <c r="I57" i="199" s="1"/>
  <c r="I58" i="199" s="1"/>
  <c r="I59" i="199" s="1"/>
  <c r="I60" i="199" s="1"/>
  <c r="I61" i="199" s="1"/>
  <c r="I62" i="199" s="1"/>
  <c r="I63" i="199" s="1"/>
  <c r="I64" i="199" s="1"/>
  <c r="I65" i="199" s="1"/>
  <c r="I66" i="199" s="1"/>
  <c r="I67" i="199" s="1"/>
  <c r="I68" i="199" s="1"/>
  <c r="A43" i="201" l="1"/>
  <c r="A44" i="201" s="1"/>
  <c r="A45" i="201" s="1"/>
  <c r="A46" i="201" s="1"/>
  <c r="A47" i="201" s="1"/>
  <c r="A48" i="201" s="1"/>
  <c r="A49" i="201" s="1"/>
  <c r="A50" i="201" s="1"/>
  <c r="A51" i="201" s="1"/>
  <c r="A52" i="201" s="1"/>
  <c r="A53" i="201" s="1"/>
  <c r="A54" i="201" s="1"/>
  <c r="A55" i="201" s="1"/>
  <c r="A56" i="201" s="1"/>
  <c r="A57" i="201" s="1"/>
  <c r="A58" i="201" s="1"/>
  <c r="E26" i="201"/>
  <c r="E30" i="201" s="1"/>
  <c r="J12" i="201"/>
  <c r="F17" i="201"/>
  <c r="J17" i="201" s="1"/>
  <c r="J26" i="201" s="1"/>
  <c r="J30" i="201" s="1"/>
  <c r="F56" i="199"/>
  <c r="F68" i="199" s="1"/>
  <c r="F48" i="199" s="1"/>
  <c r="F26" i="201" l="1"/>
  <c r="F30" i="201" s="1"/>
  <c r="B169" i="161" l="1"/>
  <c r="B52" i="193" l="1"/>
  <c r="B93" i="193" s="1"/>
  <c r="C40" i="194" l="1"/>
  <c r="C41" i="194" s="1"/>
  <c r="C42" i="194" s="1"/>
  <c r="C43" i="194" s="1"/>
  <c r="C44" i="194" s="1"/>
  <c r="C45" i="194" s="1"/>
  <c r="C46" i="194" s="1"/>
  <c r="C47" i="194" s="1"/>
  <c r="C48" i="194" s="1"/>
  <c r="C49" i="194" s="1"/>
  <c r="C50" i="194" s="1"/>
  <c r="C51" i="194" s="1"/>
  <c r="C52" i="194" s="1"/>
  <c r="C53" i="194" s="1"/>
  <c r="C54" i="194" s="1"/>
  <c r="C55" i="194" s="1"/>
  <c r="C56" i="194" s="1"/>
  <c r="C57" i="194" s="1"/>
  <c r="C58" i="194" s="1"/>
  <c r="C59" i="194" s="1"/>
  <c r="C60" i="194" s="1"/>
  <c r="C61" i="194" s="1"/>
  <c r="C62" i="194" s="1"/>
  <c r="C63" i="194" s="1"/>
  <c r="C64" i="194" s="1"/>
  <c r="C65" i="194" s="1"/>
  <c r="C66" i="194" s="1"/>
  <c r="C67" i="194" s="1"/>
  <c r="C68" i="194" s="1"/>
  <c r="C69" i="194" s="1"/>
  <c r="C70" i="194" s="1"/>
  <c r="C71" i="194" s="1"/>
  <c r="C72" i="194" s="1"/>
  <c r="C73" i="194" s="1"/>
  <c r="C74" i="194" s="1"/>
  <c r="C75" i="194" s="1"/>
  <c r="C76" i="194" s="1"/>
  <c r="C39" i="194"/>
  <c r="C38" i="194"/>
  <c r="C37" i="194"/>
  <c r="C36" i="194"/>
  <c r="C35" i="194"/>
  <c r="C34" i="194"/>
  <c r="C33" i="194"/>
  <c r="C32" i="194"/>
  <c r="C31" i="194"/>
  <c r="C30" i="194"/>
  <c r="C18" i="194"/>
  <c r="C19" i="194" s="1"/>
  <c r="C20" i="194" s="1"/>
  <c r="C21" i="194" s="1"/>
  <c r="C22" i="194" s="1"/>
  <c r="C23" i="194" s="1"/>
  <c r="C24" i="194" s="1"/>
  <c r="C25" i="194" s="1"/>
  <c r="C26" i="194" s="1"/>
  <c r="C27" i="194" s="1"/>
  <c r="C28" i="194" s="1"/>
  <c r="I11" i="194"/>
  <c r="I12" i="194" s="1"/>
  <c r="I13" i="194" s="1"/>
  <c r="I14" i="194" s="1"/>
  <c r="I15" i="194" s="1"/>
  <c r="I16" i="194" s="1"/>
  <c r="I17" i="194" s="1"/>
  <c r="I18" i="194" s="1"/>
  <c r="I19" i="194" s="1"/>
  <c r="I20" i="194" s="1"/>
  <c r="I21" i="194" s="1"/>
  <c r="I22" i="194" s="1"/>
  <c r="I23" i="194" s="1"/>
  <c r="I24" i="194" s="1"/>
  <c r="I25" i="194" s="1"/>
  <c r="I26" i="194" s="1"/>
  <c r="I27" i="194" s="1"/>
  <c r="I28" i="194" s="1"/>
  <c r="I29" i="194" s="1"/>
  <c r="I30" i="194" s="1"/>
  <c r="I31" i="194" s="1"/>
  <c r="I32" i="194" s="1"/>
  <c r="I33" i="194" s="1"/>
  <c r="I34" i="194" s="1"/>
  <c r="I35" i="194" s="1"/>
  <c r="I36" i="194" s="1"/>
  <c r="I37" i="194" s="1"/>
  <c r="I38" i="194" s="1"/>
  <c r="I39" i="194" s="1"/>
  <c r="I40" i="194" s="1"/>
  <c r="I41" i="194" s="1"/>
  <c r="I42" i="194" s="1"/>
  <c r="I43" i="194" s="1"/>
  <c r="I44" i="194" s="1"/>
  <c r="I45" i="194" s="1"/>
  <c r="I46" i="194" s="1"/>
  <c r="I47" i="194" s="1"/>
  <c r="I48" i="194" s="1"/>
  <c r="I49" i="194" s="1"/>
  <c r="I50" i="194" s="1"/>
  <c r="I51" i="194" s="1"/>
  <c r="I52" i="194" s="1"/>
  <c r="I53" i="194" s="1"/>
  <c r="I54" i="194" s="1"/>
  <c r="I55" i="194" s="1"/>
  <c r="I56" i="194" s="1"/>
  <c r="I57" i="194" s="1"/>
  <c r="I58" i="194" s="1"/>
  <c r="I59" i="194" s="1"/>
  <c r="I60" i="194" s="1"/>
  <c r="I61" i="194" s="1"/>
  <c r="I62" i="194" s="1"/>
  <c r="I63" i="194" s="1"/>
  <c r="I64" i="194" s="1"/>
  <c r="I65" i="194" s="1"/>
  <c r="I66" i="194" s="1"/>
  <c r="I67" i="194" s="1"/>
  <c r="I68" i="194" s="1"/>
  <c r="I69" i="194" s="1"/>
  <c r="I70" i="194" s="1"/>
  <c r="I71" i="194" s="1"/>
  <c r="I72" i="194" s="1"/>
  <c r="I73" i="194" s="1"/>
  <c r="I74" i="194" s="1"/>
  <c r="I75" i="194" s="1"/>
  <c r="I76" i="194" s="1"/>
  <c r="I77" i="194" s="1"/>
  <c r="I78" i="194" s="1"/>
  <c r="I79" i="194" s="1"/>
  <c r="I80" i="194" s="1"/>
  <c r="I81" i="194" s="1"/>
  <c r="I82" i="194" s="1"/>
  <c r="I83" i="194" s="1"/>
  <c r="I84" i="194" s="1"/>
  <c r="I85" i="194" s="1"/>
  <c r="I86" i="194" s="1"/>
  <c r="I87" i="194" s="1"/>
  <c r="I88" i="194" s="1"/>
  <c r="I89" i="194" s="1"/>
  <c r="I90" i="194" s="1"/>
  <c r="I91" i="194" s="1"/>
  <c r="I92" i="194" s="1"/>
  <c r="I93" i="194" s="1"/>
  <c r="I94" i="194" s="1"/>
  <c r="I95" i="194" s="1"/>
  <c r="I96" i="194" s="1"/>
  <c r="I97" i="194" s="1"/>
  <c r="I98" i="194" s="1"/>
  <c r="I99" i="194" s="1"/>
  <c r="I100" i="194" s="1"/>
  <c r="I101" i="194" s="1"/>
  <c r="I102" i="194" s="1"/>
  <c r="I103" i="194" s="1"/>
  <c r="I104" i="194" s="1"/>
  <c r="I105" i="194" s="1"/>
  <c r="I106" i="194" s="1"/>
  <c r="I107" i="194" s="1"/>
  <c r="I108" i="194" s="1"/>
  <c r="I109" i="194" s="1"/>
  <c r="I110" i="194" s="1"/>
  <c r="I111" i="194" s="1"/>
  <c r="I112" i="194" s="1"/>
  <c r="I113" i="194" s="1"/>
  <c r="A11" i="194"/>
  <c r="A12" i="194" s="1"/>
  <c r="A13" i="194" s="1"/>
  <c r="A14" i="194" s="1"/>
  <c r="A15" i="194" s="1"/>
  <c r="A16" i="194" s="1"/>
  <c r="A17" i="194" s="1"/>
  <c r="A18" i="194" s="1"/>
  <c r="A19" i="194" s="1"/>
  <c r="A20" i="194" s="1"/>
  <c r="A21" i="194" s="1"/>
  <c r="A22" i="194" s="1"/>
  <c r="A23" i="194" s="1"/>
  <c r="A24" i="194" s="1"/>
  <c r="A25" i="194" s="1"/>
  <c r="A26" i="194" s="1"/>
  <c r="A27" i="194" s="1"/>
  <c r="A28" i="194" s="1"/>
  <c r="A29" i="194" s="1"/>
  <c r="A30" i="194" s="1"/>
  <c r="A31" i="194" s="1"/>
  <c r="A32" i="194" s="1"/>
  <c r="A33" i="194" s="1"/>
  <c r="A34" i="194" s="1"/>
  <c r="A35" i="194" s="1"/>
  <c r="A36" i="194" s="1"/>
  <c r="A37" i="194" s="1"/>
  <c r="A38" i="194" s="1"/>
  <c r="A39" i="194" s="1"/>
  <c r="A40" i="194" s="1"/>
  <c r="A41" i="194" s="1"/>
  <c r="A42" i="194" s="1"/>
  <c r="A43" i="194" s="1"/>
  <c r="A44" i="194" s="1"/>
  <c r="A45" i="194" s="1"/>
  <c r="A46" i="194" s="1"/>
  <c r="A47" i="194" s="1"/>
  <c r="A48" i="194" s="1"/>
  <c r="A49" i="194" s="1"/>
  <c r="A50" i="194" s="1"/>
  <c r="A51" i="194" s="1"/>
  <c r="A52" i="194" s="1"/>
  <c r="A53" i="194" s="1"/>
  <c r="A54" i="194" s="1"/>
  <c r="A55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1" i="194" s="1"/>
  <c r="A72" i="194" s="1"/>
  <c r="A73" i="194" s="1"/>
  <c r="A74" i="194" s="1"/>
  <c r="A75" i="194" s="1"/>
  <c r="A76" i="194" s="1"/>
  <c r="A77" i="194" s="1"/>
  <c r="A78" i="194" s="1"/>
  <c r="A79" i="194" s="1"/>
  <c r="A80" i="194" s="1"/>
  <c r="A81" i="194" s="1"/>
  <c r="A82" i="194" s="1"/>
  <c r="A83" i="194" s="1"/>
  <c r="A84" i="194" s="1"/>
  <c r="A85" i="194" s="1"/>
  <c r="A86" i="194" s="1"/>
  <c r="A87" i="194" s="1"/>
  <c r="A88" i="194" s="1"/>
  <c r="A89" i="194" s="1"/>
  <c r="A90" i="194" s="1"/>
  <c r="A91" i="194" s="1"/>
  <c r="A92" i="194" s="1"/>
  <c r="A93" i="194" s="1"/>
  <c r="A94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C82" i="193"/>
  <c r="C14" i="193" s="1"/>
  <c r="C90" i="193"/>
  <c r="C40" i="193" s="1"/>
  <c r="C42" i="193" s="1"/>
  <c r="A67" i="193"/>
  <c r="A68" i="193" s="1"/>
  <c r="A69" i="193" s="1"/>
  <c r="A70" i="193" s="1"/>
  <c r="A71" i="193" s="1"/>
  <c r="A72" i="193" s="1"/>
  <c r="A73" i="193" s="1"/>
  <c r="A74" i="193" s="1"/>
  <c r="A75" i="193" s="1"/>
  <c r="A76" i="193" s="1"/>
  <c r="A77" i="193" s="1"/>
  <c r="A78" i="193" s="1"/>
  <c r="A79" i="193" s="1"/>
  <c r="A80" i="193" s="1"/>
  <c r="A81" i="193" s="1"/>
  <c r="A82" i="193" s="1"/>
  <c r="A83" i="193" s="1"/>
  <c r="A84" i="193" s="1"/>
  <c r="A85" i="193" s="1"/>
  <c r="A86" i="193" s="1"/>
  <c r="A87" i="193" s="1"/>
  <c r="A88" i="193" s="1"/>
  <c r="A89" i="193" s="1"/>
  <c r="A90" i="193" s="1"/>
  <c r="F66" i="193"/>
  <c r="F67" i="193" s="1"/>
  <c r="F68" i="193" s="1"/>
  <c r="F69" i="193" s="1"/>
  <c r="F70" i="193" s="1"/>
  <c r="F71" i="193" s="1"/>
  <c r="F72" i="193" s="1"/>
  <c r="F73" i="193" s="1"/>
  <c r="F74" i="193" s="1"/>
  <c r="F75" i="193" s="1"/>
  <c r="F76" i="193" s="1"/>
  <c r="F77" i="193" s="1"/>
  <c r="F78" i="193" s="1"/>
  <c r="F79" i="193" s="1"/>
  <c r="F80" i="193" s="1"/>
  <c r="F81" i="193" s="1"/>
  <c r="F82" i="193" s="1"/>
  <c r="F83" i="193" s="1"/>
  <c r="F84" i="193" s="1"/>
  <c r="F85" i="193" s="1"/>
  <c r="F86" i="193" s="1"/>
  <c r="F87" i="193" s="1"/>
  <c r="F88" i="193" s="1"/>
  <c r="F89" i="193" s="1"/>
  <c r="F90" i="193" s="1"/>
  <c r="C47" i="193"/>
  <c r="C22" i="193"/>
  <c r="A13" i="193"/>
  <c r="A14" i="193" s="1"/>
  <c r="A15" i="193" s="1"/>
  <c r="A16" i="193" s="1"/>
  <c r="A17" i="193" s="1"/>
  <c r="A18" i="193" s="1"/>
  <c r="A19" i="193" s="1"/>
  <c r="A20" i="193" s="1"/>
  <c r="A21" i="193" s="1"/>
  <c r="A22" i="193" s="1"/>
  <c r="A23" i="193" s="1"/>
  <c r="A24" i="193" s="1"/>
  <c r="A25" i="193" s="1"/>
  <c r="A26" i="193" s="1"/>
  <c r="A27" i="193" s="1"/>
  <c r="A28" i="193" s="1"/>
  <c r="A29" i="193" s="1"/>
  <c r="A30" i="193" s="1"/>
  <c r="A31" i="193" s="1"/>
  <c r="A32" i="193" s="1"/>
  <c r="A33" i="193" s="1"/>
  <c r="A34" i="193" s="1"/>
  <c r="A35" i="193" s="1"/>
  <c r="A36" i="193" s="1"/>
  <c r="A37" i="193" s="1"/>
  <c r="A38" i="193" s="1"/>
  <c r="A39" i="193" s="1"/>
  <c r="A40" i="193" s="1"/>
  <c r="A41" i="193" s="1"/>
  <c r="A42" i="193" s="1"/>
  <c r="A43" i="193" s="1"/>
  <c r="A44" i="193" s="1"/>
  <c r="A45" i="193" s="1"/>
  <c r="A46" i="193" s="1"/>
  <c r="A47" i="193" s="1"/>
  <c r="A48" i="193" s="1"/>
  <c r="A49" i="193" s="1"/>
  <c r="F12" i="193"/>
  <c r="F13" i="193" s="1"/>
  <c r="F14" i="193" s="1"/>
  <c r="F15" i="193" s="1"/>
  <c r="F16" i="193" s="1"/>
  <c r="F17" i="193" s="1"/>
  <c r="F18" i="193" s="1"/>
  <c r="F19" i="193" s="1"/>
  <c r="F20" i="193" s="1"/>
  <c r="F21" i="193" s="1"/>
  <c r="F22" i="193" s="1"/>
  <c r="F23" i="193" s="1"/>
  <c r="F24" i="193" s="1"/>
  <c r="F25" i="193" s="1"/>
  <c r="F26" i="193" s="1"/>
  <c r="F27" i="193" s="1"/>
  <c r="F28" i="193" s="1"/>
  <c r="F29" i="193" s="1"/>
  <c r="F30" i="193" s="1"/>
  <c r="F31" i="193" s="1"/>
  <c r="F32" i="193" s="1"/>
  <c r="F33" i="193" s="1"/>
  <c r="F34" i="193" s="1"/>
  <c r="F35" i="193" s="1"/>
  <c r="F36" i="193" s="1"/>
  <c r="F37" i="193" s="1"/>
  <c r="F38" i="193" s="1"/>
  <c r="F39" i="193" s="1"/>
  <c r="F40" i="193" s="1"/>
  <c r="F41" i="193" s="1"/>
  <c r="F42" i="193" s="1"/>
  <c r="F43" i="193" s="1"/>
  <c r="F44" i="193" s="1"/>
  <c r="F45" i="193" s="1"/>
  <c r="F46" i="193" s="1"/>
  <c r="F47" i="193" s="1"/>
  <c r="F48" i="193" s="1"/>
  <c r="F49" i="193" s="1"/>
  <c r="B59" i="193"/>
  <c r="G150" i="192"/>
  <c r="B150" i="192"/>
  <c r="B149" i="192"/>
  <c r="G147" i="192"/>
  <c r="B147" i="192"/>
  <c r="B146" i="192"/>
  <c r="G138" i="192"/>
  <c r="B138" i="192"/>
  <c r="B135" i="192"/>
  <c r="B134" i="192"/>
  <c r="J130" i="192"/>
  <c r="J131" i="192" s="1"/>
  <c r="J132" i="192" s="1"/>
  <c r="J133" i="192" s="1"/>
  <c r="J134" i="192" s="1"/>
  <c r="J135" i="192" s="1"/>
  <c r="J136" i="192" s="1"/>
  <c r="J137" i="192" s="1"/>
  <c r="J138" i="192" s="1"/>
  <c r="J139" i="192" s="1"/>
  <c r="J140" i="192" s="1"/>
  <c r="J141" i="192" s="1"/>
  <c r="J142" i="192" s="1"/>
  <c r="J143" i="192" s="1"/>
  <c r="J144" i="192" s="1"/>
  <c r="J145" i="192" s="1"/>
  <c r="J146" i="192" s="1"/>
  <c r="J147" i="192" s="1"/>
  <c r="J148" i="192" s="1"/>
  <c r="J149" i="192" s="1"/>
  <c r="J150" i="192" s="1"/>
  <c r="J151" i="192" s="1"/>
  <c r="J152" i="192" s="1"/>
  <c r="J153" i="192" s="1"/>
  <c r="J154" i="192" s="1"/>
  <c r="J155" i="192" s="1"/>
  <c r="J156" i="192" s="1"/>
  <c r="J157" i="192" s="1"/>
  <c r="J158" i="192" s="1"/>
  <c r="J159" i="192" s="1"/>
  <c r="A130" i="192"/>
  <c r="A131" i="192" s="1"/>
  <c r="A132" i="192" s="1"/>
  <c r="A133" i="192" s="1"/>
  <c r="A134" i="192" s="1"/>
  <c r="A135" i="192" s="1"/>
  <c r="A136" i="192" s="1"/>
  <c r="A137" i="192" s="1"/>
  <c r="A138" i="192" s="1"/>
  <c r="A139" i="192" s="1"/>
  <c r="A140" i="192" s="1"/>
  <c r="A141" i="192" s="1"/>
  <c r="A142" i="192" s="1"/>
  <c r="A143" i="192" s="1"/>
  <c r="A144" i="192" s="1"/>
  <c r="A145" i="192" s="1"/>
  <c r="A146" i="192" s="1"/>
  <c r="A147" i="192" s="1"/>
  <c r="A148" i="192" s="1"/>
  <c r="A149" i="192" s="1"/>
  <c r="A150" i="192" s="1"/>
  <c r="A151" i="192" s="1"/>
  <c r="A152" i="192" s="1"/>
  <c r="A153" i="192" s="1"/>
  <c r="A154" i="192" s="1"/>
  <c r="A155" i="192" s="1"/>
  <c r="A156" i="192" s="1"/>
  <c r="A157" i="192" s="1"/>
  <c r="A158" i="192" s="1"/>
  <c r="A159" i="192" s="1"/>
  <c r="B162" i="192" s="1"/>
  <c r="G101" i="192"/>
  <c r="J84" i="192"/>
  <c r="J85" i="192" s="1"/>
  <c r="J86" i="192" s="1"/>
  <c r="J87" i="192" s="1"/>
  <c r="J88" i="192" s="1"/>
  <c r="J89" i="192" s="1"/>
  <c r="J90" i="192" s="1"/>
  <c r="J91" i="192" s="1"/>
  <c r="J92" i="192" s="1"/>
  <c r="J93" i="192" s="1"/>
  <c r="J94" i="192" s="1"/>
  <c r="J95" i="192" s="1"/>
  <c r="J96" i="192" s="1"/>
  <c r="J97" i="192" s="1"/>
  <c r="J98" i="192" s="1"/>
  <c r="J99" i="192" s="1"/>
  <c r="J100" i="192" s="1"/>
  <c r="J101" i="192" s="1"/>
  <c r="J102" i="192" s="1"/>
  <c r="J103" i="192" s="1"/>
  <c r="J104" i="192" s="1"/>
  <c r="J105" i="192" s="1"/>
  <c r="J106" i="192" s="1"/>
  <c r="J107" i="192" s="1"/>
  <c r="J108" i="192" s="1"/>
  <c r="J109" i="192" s="1"/>
  <c r="J110" i="192" s="1"/>
  <c r="J111" i="192" s="1"/>
  <c r="J112" i="192" s="1"/>
  <c r="J113" i="192" s="1"/>
  <c r="A84" i="192"/>
  <c r="A85" i="192" s="1"/>
  <c r="A86" i="192" s="1"/>
  <c r="A87" i="192" s="1"/>
  <c r="A88" i="192" s="1"/>
  <c r="A89" i="192" s="1"/>
  <c r="A90" i="192" s="1"/>
  <c r="A91" i="192" s="1"/>
  <c r="A92" i="192" s="1"/>
  <c r="A93" i="192" s="1"/>
  <c r="A94" i="192" s="1"/>
  <c r="A95" i="192" s="1"/>
  <c r="A96" i="192" s="1"/>
  <c r="A97" i="192" s="1"/>
  <c r="A98" i="192" s="1"/>
  <c r="A99" i="192" s="1"/>
  <c r="A100" i="192" s="1"/>
  <c r="A101" i="192" s="1"/>
  <c r="A102" i="192" s="1"/>
  <c r="A103" i="192" s="1"/>
  <c r="A104" i="192" s="1"/>
  <c r="A105" i="192" s="1"/>
  <c r="A106" i="192" s="1"/>
  <c r="A107" i="192" s="1"/>
  <c r="A108" i="192" s="1"/>
  <c r="A109" i="192" s="1"/>
  <c r="A110" i="192" s="1"/>
  <c r="A111" i="192" s="1"/>
  <c r="A112" i="192" s="1"/>
  <c r="A113" i="192" s="1"/>
  <c r="E63" i="192"/>
  <c r="C62" i="192"/>
  <c r="E50" i="192"/>
  <c r="C49" i="192"/>
  <c r="G37" i="192"/>
  <c r="G40" i="192" s="1"/>
  <c r="C63" i="192" s="1"/>
  <c r="G33" i="192"/>
  <c r="E62" i="192" s="1"/>
  <c r="G26" i="192"/>
  <c r="G28" i="192" s="1"/>
  <c r="G18" i="192"/>
  <c r="C61" i="192" s="1"/>
  <c r="A13" i="192"/>
  <c r="A14" i="192" s="1"/>
  <c r="A15" i="192" s="1"/>
  <c r="A16" i="192" s="1"/>
  <c r="A17" i="192" s="1"/>
  <c r="A18" i="192" s="1"/>
  <c r="A19" i="192" s="1"/>
  <c r="A20" i="192" s="1"/>
  <c r="A21" i="192" s="1"/>
  <c r="A22" i="192" s="1"/>
  <c r="A23" i="192" s="1"/>
  <c r="A24" i="192" s="1"/>
  <c r="A25" i="192" s="1"/>
  <c r="A26" i="192" s="1"/>
  <c r="A27" i="192" s="1"/>
  <c r="A28" i="192" s="1"/>
  <c r="A29" i="192" s="1"/>
  <c r="A30" i="192" s="1"/>
  <c r="A31" i="192" s="1"/>
  <c r="A32" i="192" s="1"/>
  <c r="A33" i="192" s="1"/>
  <c r="A34" i="192" s="1"/>
  <c r="A35" i="192" s="1"/>
  <c r="A36" i="192" s="1"/>
  <c r="A37" i="192" s="1"/>
  <c r="A38" i="192" s="1"/>
  <c r="A39" i="192" s="1"/>
  <c r="A40" i="192" s="1"/>
  <c r="A41" i="192" s="1"/>
  <c r="A42" i="192" s="1"/>
  <c r="A43" i="192" s="1"/>
  <c r="A44" i="192" s="1"/>
  <c r="A45" i="192" s="1"/>
  <c r="A46" i="192" s="1"/>
  <c r="A47" i="192" s="1"/>
  <c r="A48" i="192" s="1"/>
  <c r="A49" i="192" s="1"/>
  <c r="A50" i="192" s="1"/>
  <c r="A51" i="192" s="1"/>
  <c r="A52" i="192" s="1"/>
  <c r="A53" i="192" s="1"/>
  <c r="A54" i="192" s="1"/>
  <c r="A55" i="192" s="1"/>
  <c r="A56" i="192" s="1"/>
  <c r="J12" i="192"/>
  <c r="J13" i="192" s="1"/>
  <c r="J14" i="192" s="1"/>
  <c r="J15" i="192" s="1"/>
  <c r="J16" i="192" s="1"/>
  <c r="J17" i="192" s="1"/>
  <c r="J18" i="192" s="1"/>
  <c r="J19" i="192" s="1"/>
  <c r="J20" i="192" s="1"/>
  <c r="J21" i="192" s="1"/>
  <c r="J22" i="192" s="1"/>
  <c r="J23" i="192" s="1"/>
  <c r="J24" i="192" s="1"/>
  <c r="J25" i="192" s="1"/>
  <c r="J26" i="192" s="1"/>
  <c r="J27" i="192" s="1"/>
  <c r="J28" i="192" s="1"/>
  <c r="J29" i="192" s="1"/>
  <c r="J30" i="192" s="1"/>
  <c r="J31" i="192" s="1"/>
  <c r="J32" i="192" s="1"/>
  <c r="J33" i="192" s="1"/>
  <c r="J34" i="192" s="1"/>
  <c r="J35" i="192" s="1"/>
  <c r="J36" i="192" s="1"/>
  <c r="J37" i="192" s="1"/>
  <c r="J38" i="192" s="1"/>
  <c r="J39" i="192" s="1"/>
  <c r="J40" i="192" s="1"/>
  <c r="J41" i="192" s="1"/>
  <c r="J42" i="192" s="1"/>
  <c r="J43" i="192" s="1"/>
  <c r="J44" i="192" s="1"/>
  <c r="J45" i="192" s="1"/>
  <c r="J46" i="192" s="1"/>
  <c r="J47" i="192" s="1"/>
  <c r="J48" i="192" s="1"/>
  <c r="J49" i="192" s="1"/>
  <c r="J50" i="192" s="1"/>
  <c r="J51" i="192" s="1"/>
  <c r="J52" i="192" s="1"/>
  <c r="J53" i="192" s="1"/>
  <c r="J54" i="192" s="1"/>
  <c r="J55" i="192" s="1"/>
  <c r="J56" i="192" s="1"/>
  <c r="J57" i="192" s="1"/>
  <c r="J58" i="192" s="1"/>
  <c r="J59" i="192" s="1"/>
  <c r="J60" i="192" s="1"/>
  <c r="J61" i="192" s="1"/>
  <c r="J62" i="192" s="1"/>
  <c r="J63" i="192" s="1"/>
  <c r="J64" i="192" s="1"/>
  <c r="J65" i="192" s="1"/>
  <c r="J66" i="192" s="1"/>
  <c r="B123" i="192"/>
  <c r="G15" i="190"/>
  <c r="E27" i="190"/>
  <c r="A12" i="190"/>
  <c r="A13" i="190" s="1"/>
  <c r="A14" i="190" s="1"/>
  <c r="A15" i="190" s="1"/>
  <c r="A16" i="190" s="1"/>
  <c r="A17" i="190" s="1"/>
  <c r="A18" i="190" s="1"/>
  <c r="A19" i="190" s="1"/>
  <c r="A20" i="190" s="1"/>
  <c r="A21" i="190" s="1"/>
  <c r="A22" i="190" s="1"/>
  <c r="A23" i="190" s="1"/>
  <c r="A24" i="190" s="1"/>
  <c r="A25" i="190" s="1"/>
  <c r="A26" i="190" s="1"/>
  <c r="A27" i="190" s="1"/>
  <c r="A28" i="190" s="1"/>
  <c r="A29" i="190" s="1"/>
  <c r="J11" i="190"/>
  <c r="J12" i="190" s="1"/>
  <c r="J13" i="190" s="1"/>
  <c r="J14" i="190" s="1"/>
  <c r="J15" i="190" s="1"/>
  <c r="J16" i="190" s="1"/>
  <c r="J17" i="190" s="1"/>
  <c r="J18" i="190" s="1"/>
  <c r="J19" i="190" s="1"/>
  <c r="J20" i="190" s="1"/>
  <c r="J21" i="190" s="1"/>
  <c r="J22" i="190" s="1"/>
  <c r="J23" i="190" s="1"/>
  <c r="J24" i="190" s="1"/>
  <c r="J25" i="190" s="1"/>
  <c r="J26" i="190" s="1"/>
  <c r="J27" i="190" s="1"/>
  <c r="J28" i="190" s="1"/>
  <c r="J29" i="190" s="1"/>
  <c r="H27" i="185"/>
  <c r="H31" i="185" s="1"/>
  <c r="F41" i="199" s="1"/>
  <c r="F45" i="199" s="1"/>
  <c r="F47" i="199" s="1"/>
  <c r="F49" i="199" s="1"/>
  <c r="E50" i="185"/>
  <c r="F29" i="185"/>
  <c r="J29" i="185" s="1"/>
  <c r="D27" i="185"/>
  <c r="E25" i="185"/>
  <c r="F25" i="185" s="1"/>
  <c r="J25" i="185" s="1"/>
  <c r="F24" i="185"/>
  <c r="J24" i="185" s="1"/>
  <c r="E23" i="185"/>
  <c r="F23" i="185" s="1"/>
  <c r="J23" i="185" s="1"/>
  <c r="E22" i="185"/>
  <c r="F22" i="185" s="1"/>
  <c r="J22" i="185" s="1"/>
  <c r="F21" i="185"/>
  <c r="J21" i="185" s="1"/>
  <c r="E20" i="185"/>
  <c r="F20" i="185" s="1"/>
  <c r="J20" i="185" s="1"/>
  <c r="E19" i="185"/>
  <c r="F19" i="185" s="1"/>
  <c r="J19" i="185" s="1"/>
  <c r="E18" i="185"/>
  <c r="F18" i="185" s="1"/>
  <c r="J18" i="185" s="1"/>
  <c r="E17" i="185"/>
  <c r="F17" i="185" s="1"/>
  <c r="J17" i="185" s="1"/>
  <c r="F16" i="185"/>
  <c r="J16" i="185" s="1"/>
  <c r="F15" i="185"/>
  <c r="J15" i="185" s="1"/>
  <c r="F14" i="185"/>
  <c r="J14" i="185" s="1"/>
  <c r="E13" i="185"/>
  <c r="F13" i="185" s="1"/>
  <c r="J13" i="185" s="1"/>
  <c r="A13" i="185"/>
  <c r="A14" i="185" s="1"/>
  <c r="A15" i="185" s="1"/>
  <c r="A16" i="185" s="1"/>
  <c r="A17" i="185" s="1"/>
  <c r="A18" i="185" s="1"/>
  <c r="A19" i="185" s="1"/>
  <c r="A20" i="185" s="1"/>
  <c r="A21" i="185" s="1"/>
  <c r="A22" i="185" s="1"/>
  <c r="A23" i="185" s="1"/>
  <c r="A24" i="185" s="1"/>
  <c r="A25" i="185" s="1"/>
  <c r="A26" i="185" s="1"/>
  <c r="A27" i="185" s="1"/>
  <c r="A28" i="185" s="1"/>
  <c r="A29" i="185" s="1"/>
  <c r="A30" i="185" s="1"/>
  <c r="A31" i="185" s="1"/>
  <c r="A32" i="185" s="1"/>
  <c r="A33" i="185" s="1"/>
  <c r="A34" i="185" s="1"/>
  <c r="A35" i="185" s="1"/>
  <c r="A36" i="185" s="1"/>
  <c r="A37" i="185" s="1"/>
  <c r="A38" i="185" s="1"/>
  <c r="A39" i="185" s="1"/>
  <c r="A40" i="185" s="1"/>
  <c r="A41" i="185" s="1"/>
  <c r="A42" i="185" s="1"/>
  <c r="A43" i="185" s="1"/>
  <c r="A44" i="185" s="1"/>
  <c r="A45" i="185" s="1"/>
  <c r="A46" i="185" s="1"/>
  <c r="A47" i="185" s="1"/>
  <c r="A48" i="185" s="1"/>
  <c r="A49" i="185" s="1"/>
  <c r="A50" i="185" s="1"/>
  <c r="A51" i="185" s="1"/>
  <c r="A52" i="185" s="1"/>
  <c r="A53" i="185" s="1"/>
  <c r="A54" i="185" s="1"/>
  <c r="A55" i="185" s="1"/>
  <c r="A56" i="185" s="1"/>
  <c r="A57" i="185" s="1"/>
  <c r="A58" i="185" s="1"/>
  <c r="A59" i="185" s="1"/>
  <c r="L12" i="185"/>
  <c r="L13" i="185" s="1"/>
  <c r="L14" i="185" s="1"/>
  <c r="L15" i="185" s="1"/>
  <c r="L16" i="185" s="1"/>
  <c r="L17" i="185" s="1"/>
  <c r="L18" i="185" s="1"/>
  <c r="L19" i="185" s="1"/>
  <c r="L20" i="185" s="1"/>
  <c r="L21" i="185" s="1"/>
  <c r="L22" i="185" s="1"/>
  <c r="L23" i="185" s="1"/>
  <c r="L24" i="185" s="1"/>
  <c r="L25" i="185" s="1"/>
  <c r="L26" i="185" s="1"/>
  <c r="L27" i="185" s="1"/>
  <c r="L28" i="185" s="1"/>
  <c r="L29" i="185" s="1"/>
  <c r="L30" i="185" s="1"/>
  <c r="L31" i="185" s="1"/>
  <c r="L32" i="185" s="1"/>
  <c r="L33" i="185" s="1"/>
  <c r="L34" i="185" s="1"/>
  <c r="L35" i="185" s="1"/>
  <c r="L36" i="185" s="1"/>
  <c r="L37" i="185" s="1"/>
  <c r="L38" i="185" s="1"/>
  <c r="L39" i="185" s="1"/>
  <c r="L40" i="185" s="1"/>
  <c r="L41" i="185" s="1"/>
  <c r="L42" i="185" s="1"/>
  <c r="L43" i="185" s="1"/>
  <c r="L44" i="185" s="1"/>
  <c r="L45" i="185" s="1"/>
  <c r="L46" i="185" s="1"/>
  <c r="L47" i="185" s="1"/>
  <c r="L48" i="185" s="1"/>
  <c r="L49" i="185" s="1"/>
  <c r="L50" i="185" s="1"/>
  <c r="L51" i="185" s="1"/>
  <c r="L52" i="185" s="1"/>
  <c r="L53" i="185" s="1"/>
  <c r="L54" i="185" s="1"/>
  <c r="L55" i="185" s="1"/>
  <c r="L56" i="185" s="1"/>
  <c r="L57" i="185" s="1"/>
  <c r="L58" i="185" s="1"/>
  <c r="L59" i="185" s="1"/>
  <c r="F12" i="185"/>
  <c r="J12" i="185" s="1"/>
  <c r="E23" i="190" l="1"/>
  <c r="E70" i="205"/>
  <c r="E72" i="205" s="1"/>
  <c r="E16" i="205" s="1"/>
  <c r="C83" i="193"/>
  <c r="C15" i="193" s="1"/>
  <c r="F42" i="183"/>
  <c r="F43" i="183" s="1"/>
  <c r="C84" i="193"/>
  <c r="C16" i="193" s="1"/>
  <c r="C78" i="193"/>
  <c r="C71" i="193"/>
  <c r="C81" i="193"/>
  <c r="E61" i="192"/>
  <c r="E48" i="192"/>
  <c r="A57" i="192"/>
  <c r="A58" i="192" s="1"/>
  <c r="A59" i="192" s="1"/>
  <c r="A60" i="192" s="1"/>
  <c r="A61" i="192" s="1"/>
  <c r="A62" i="192" s="1"/>
  <c r="A63" i="192" s="1"/>
  <c r="A64" i="192" s="1"/>
  <c r="A65" i="192" s="1"/>
  <c r="A66" i="192" s="1"/>
  <c r="B70" i="192" s="1"/>
  <c r="C64" i="192"/>
  <c r="C48" i="192"/>
  <c r="E49" i="192"/>
  <c r="C50" i="192"/>
  <c r="B77" i="192"/>
  <c r="G19" i="190"/>
  <c r="D31" i="185"/>
  <c r="J27" i="185"/>
  <c r="J31" i="185" s="1"/>
  <c r="F27" i="185"/>
  <c r="F31" i="185" s="1"/>
  <c r="E27" i="185"/>
  <c r="E31" i="185" s="1"/>
  <c r="F27" i="199" l="1"/>
  <c r="F28" i="183"/>
  <c r="C85" i="193"/>
  <c r="C13" i="193"/>
  <c r="C17" i="193" s="1"/>
  <c r="C51" i="192"/>
  <c r="D62" i="192" l="1"/>
  <c r="G62" i="192" s="1"/>
  <c r="D49" i="192"/>
  <c r="G49" i="192" s="1"/>
  <c r="D61" i="192"/>
  <c r="D63" i="192"/>
  <c r="G63" i="192" s="1"/>
  <c r="D48" i="192"/>
  <c r="D50" i="192"/>
  <c r="G50" i="192" s="1"/>
  <c r="G53" i="192" l="1"/>
  <c r="G88" i="192" s="1"/>
  <c r="G66" i="192"/>
  <c r="G134" i="192" s="1"/>
  <c r="G100" i="192"/>
  <c r="G146" i="192"/>
  <c r="D51" i="192"/>
  <c r="G48" i="192"/>
  <c r="G51" i="192" s="1"/>
  <c r="G111" i="192" s="1"/>
  <c r="G61" i="192"/>
  <c r="G64" i="192" s="1"/>
  <c r="G157" i="192" s="1"/>
  <c r="D64" i="192"/>
  <c r="E138" i="205" l="1"/>
  <c r="E139" i="161"/>
  <c r="F58" i="183"/>
  <c r="F66" i="183" s="1"/>
  <c r="F56" i="183"/>
  <c r="F45" i="183"/>
  <c r="F47" i="183" s="1"/>
  <c r="A13" i="183"/>
  <c r="A14" i="183" s="1"/>
  <c r="A15" i="183" s="1"/>
  <c r="A16" i="183" s="1"/>
  <c r="A17" i="183" s="1"/>
  <c r="A18" i="183" s="1"/>
  <c r="A19" i="183" s="1"/>
  <c r="A20" i="183" s="1"/>
  <c r="A21" i="183" s="1"/>
  <c r="A22" i="183" s="1"/>
  <c r="A23" i="183" s="1"/>
  <c r="A24" i="183" s="1"/>
  <c r="A25" i="183" s="1"/>
  <c r="A26" i="183" s="1"/>
  <c r="I12" i="183"/>
  <c r="I13" i="183" s="1"/>
  <c r="I14" i="183" s="1"/>
  <c r="I15" i="183" s="1"/>
  <c r="I16" i="183" s="1"/>
  <c r="I17" i="183" s="1"/>
  <c r="I18" i="183" s="1"/>
  <c r="I19" i="183" s="1"/>
  <c r="I20" i="183" s="1"/>
  <c r="I21" i="183" s="1"/>
  <c r="I22" i="183" s="1"/>
  <c r="I23" i="183" s="1"/>
  <c r="I24" i="183" s="1"/>
  <c r="I25" i="183" s="1"/>
  <c r="I26" i="183" s="1"/>
  <c r="C27" i="193" l="1"/>
  <c r="F68" i="183"/>
  <c r="F48" i="183" s="1"/>
  <c r="F49" i="183" s="1"/>
  <c r="I27" i="183"/>
  <c r="I28" i="183" s="1"/>
  <c r="I29" i="183" s="1"/>
  <c r="I30" i="183" s="1"/>
  <c r="I31" i="183" s="1"/>
  <c r="I32" i="183" s="1"/>
  <c r="I33" i="183" s="1"/>
  <c r="I34" i="183" s="1"/>
  <c r="I35" i="183" s="1"/>
  <c r="I36" i="183" s="1"/>
  <c r="I37" i="183" s="1"/>
  <c r="I38" i="183" s="1"/>
  <c r="I39" i="183" s="1"/>
  <c r="I40" i="183" s="1"/>
  <c r="I41" i="183" s="1"/>
  <c r="A27" i="183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I42" i="183" l="1"/>
  <c r="I43" i="183" s="1"/>
  <c r="I44" i="183" s="1"/>
  <c r="I45" i="183" s="1"/>
  <c r="I46" i="183" s="1"/>
  <c r="I47" i="183" s="1"/>
  <c r="I48" i="183" s="1"/>
  <c r="I49" i="183" s="1"/>
  <c r="I50" i="183" s="1"/>
  <c r="I51" i="183" s="1"/>
  <c r="I52" i="183" s="1"/>
  <c r="I53" i="183" s="1"/>
  <c r="I54" i="183" s="1"/>
  <c r="I55" i="183" s="1"/>
  <c r="I56" i="183" s="1"/>
  <c r="I57" i="183" s="1"/>
  <c r="I58" i="183" s="1"/>
  <c r="I59" i="183" s="1"/>
  <c r="I60" i="183" s="1"/>
  <c r="I61" i="183" s="1"/>
  <c r="I62" i="183" s="1"/>
  <c r="I63" i="183" s="1"/>
  <c r="I64" i="183" s="1"/>
  <c r="I65" i="183" s="1"/>
  <c r="I66" i="183" s="1"/>
  <c r="I67" i="183" s="1"/>
  <c r="I68" i="183" s="1"/>
  <c r="A42" i="183"/>
  <c r="A43" i="183" s="1"/>
  <c r="A44" i="183" s="1"/>
  <c r="A45" i="183" s="1"/>
  <c r="A46" i="183" s="1"/>
  <c r="A47" i="183" s="1"/>
  <c r="A48" i="183" s="1"/>
  <c r="A49" i="183" s="1"/>
  <c r="A50" i="183" s="1"/>
  <c r="A51" i="183" s="1"/>
  <c r="A52" i="183" s="1"/>
  <c r="A53" i="183" s="1"/>
  <c r="A54" i="183" s="1"/>
  <c r="A55" i="183" s="1"/>
  <c r="A56" i="183" s="1"/>
  <c r="A57" i="183" s="1"/>
  <c r="A58" i="183" s="1"/>
  <c r="A59" i="183" s="1"/>
  <c r="A60" i="183" s="1"/>
  <c r="A61" i="183" s="1"/>
  <c r="A62" i="183" s="1"/>
  <c r="A63" i="183" s="1"/>
  <c r="A64" i="183" s="1"/>
  <c r="A65" i="183" s="1"/>
  <c r="A66" i="183" s="1"/>
  <c r="A67" i="183" s="1"/>
  <c r="A68" i="183" s="1"/>
  <c r="E25" i="190"/>
  <c r="E29" i="190" s="1"/>
  <c r="E71" i="161"/>
  <c r="E86" i="205" l="1"/>
  <c r="E87" i="205" s="1"/>
  <c r="C31" i="204"/>
  <c r="C32" i="204" s="1"/>
  <c r="C36" i="204" s="1"/>
  <c r="G90" i="203" s="1"/>
  <c r="C33" i="193"/>
  <c r="C37" i="193" s="1"/>
  <c r="A12" i="165"/>
  <c r="A13" i="165" s="1"/>
  <c r="A14" i="165" s="1"/>
  <c r="A15" i="165" s="1"/>
  <c r="A16" i="165" s="1"/>
  <c r="A17" i="165" s="1"/>
  <c r="A18" i="165" s="1"/>
  <c r="A19" i="165" s="1"/>
  <c r="A20" i="165" s="1"/>
  <c r="A21" i="165" s="1"/>
  <c r="A22" i="165" s="1"/>
  <c r="A23" i="165" s="1"/>
  <c r="A24" i="165" s="1"/>
  <c r="G11" i="165"/>
  <c r="G12" i="165" s="1"/>
  <c r="G13" i="165" s="1"/>
  <c r="G14" i="165" s="1"/>
  <c r="G15" i="165" s="1"/>
  <c r="G16" i="165" s="1"/>
  <c r="G17" i="165" s="1"/>
  <c r="G18" i="165" s="1"/>
  <c r="G19" i="165" s="1"/>
  <c r="G20" i="165" s="1"/>
  <c r="G21" i="165" s="1"/>
  <c r="G22" i="165" s="1"/>
  <c r="G23" i="165" s="1"/>
  <c r="G24" i="165" s="1"/>
  <c r="N25" i="163"/>
  <c r="N27" i="163" s="1"/>
  <c r="M25" i="163"/>
  <c r="M27" i="163" s="1"/>
  <c r="L25" i="163"/>
  <c r="L27" i="163" s="1"/>
  <c r="K25" i="163"/>
  <c r="K27" i="163" s="1"/>
  <c r="J25" i="163"/>
  <c r="J27" i="163" s="1"/>
  <c r="I25" i="163"/>
  <c r="I27" i="163" s="1"/>
  <c r="H25" i="163"/>
  <c r="H27" i="163" s="1"/>
  <c r="G25" i="163"/>
  <c r="G27" i="163" s="1"/>
  <c r="F25" i="163"/>
  <c r="F27" i="163" s="1"/>
  <c r="E25" i="163"/>
  <c r="E27" i="163" s="1"/>
  <c r="D25" i="163"/>
  <c r="D27" i="163" s="1"/>
  <c r="C25" i="163"/>
  <c r="O24" i="163"/>
  <c r="O23" i="163"/>
  <c r="O21" i="163"/>
  <c r="O20" i="163"/>
  <c r="O18" i="163"/>
  <c r="O17" i="163"/>
  <c r="O14" i="163"/>
  <c r="A13" i="163"/>
  <c r="A14" i="163" s="1"/>
  <c r="A15" i="163" s="1"/>
  <c r="A16" i="163" s="1"/>
  <c r="A17" i="163" s="1"/>
  <c r="A18" i="163" s="1"/>
  <c r="A19" i="163" s="1"/>
  <c r="A20" i="163" s="1"/>
  <c r="A21" i="163" s="1"/>
  <c r="A22" i="163" s="1"/>
  <c r="A23" i="163" s="1"/>
  <c r="A24" i="163" s="1"/>
  <c r="A25" i="163" s="1"/>
  <c r="A26" i="163" s="1"/>
  <c r="A27" i="163" s="1"/>
  <c r="A28" i="163" s="1"/>
  <c r="A29" i="163" s="1"/>
  <c r="A30" i="163" s="1"/>
  <c r="A31" i="163" s="1"/>
  <c r="R12" i="163"/>
  <c r="R13" i="163" s="1"/>
  <c r="R14" i="163" s="1"/>
  <c r="R15" i="163" s="1"/>
  <c r="R16" i="163" s="1"/>
  <c r="R17" i="163" s="1"/>
  <c r="R18" i="163" s="1"/>
  <c r="R19" i="163" s="1"/>
  <c r="R20" i="163" s="1"/>
  <c r="R21" i="163" s="1"/>
  <c r="R22" i="163" s="1"/>
  <c r="R23" i="163" s="1"/>
  <c r="R24" i="163" s="1"/>
  <c r="R25" i="163" s="1"/>
  <c r="R26" i="163" s="1"/>
  <c r="R27" i="163" s="1"/>
  <c r="R28" i="163" s="1"/>
  <c r="R29" i="163" s="1"/>
  <c r="R30" i="163" s="1"/>
  <c r="R31" i="163" s="1"/>
  <c r="R32" i="163" s="1"/>
  <c r="R33" i="163" s="1"/>
  <c r="R34" i="163" s="1"/>
  <c r="R35" i="163" s="1"/>
  <c r="R36" i="163" s="1"/>
  <c r="R37" i="163" s="1"/>
  <c r="R38" i="163" s="1"/>
  <c r="R39" i="163" s="1"/>
  <c r="R40" i="163" s="1"/>
  <c r="R41" i="163" s="1"/>
  <c r="R42" i="163" s="1"/>
  <c r="A110" i="161"/>
  <c r="A111" i="161" s="1"/>
  <c r="A112" i="161" s="1"/>
  <c r="A113" i="161" s="1"/>
  <c r="A114" i="161" s="1"/>
  <c r="A115" i="161" s="1"/>
  <c r="A116" i="161" s="1"/>
  <c r="A117" i="161" s="1"/>
  <c r="A118" i="161" s="1"/>
  <c r="A119" i="161" s="1"/>
  <c r="A120" i="161" s="1"/>
  <c r="A121" i="161" s="1"/>
  <c r="A122" i="161" s="1"/>
  <c r="A123" i="161" s="1"/>
  <c r="A124" i="161" s="1"/>
  <c r="A125" i="161" s="1"/>
  <c r="A126" i="161" s="1"/>
  <c r="A127" i="161" s="1"/>
  <c r="A128" i="161" s="1"/>
  <c r="A129" i="161" s="1"/>
  <c r="A130" i="161" s="1"/>
  <c r="A131" i="161" s="1"/>
  <c r="A132" i="161" s="1"/>
  <c r="A133" i="161" s="1"/>
  <c r="A134" i="161" s="1"/>
  <c r="A135" i="161" s="1"/>
  <c r="A136" i="161" s="1"/>
  <c r="A137" i="161" s="1"/>
  <c r="A138" i="161" s="1"/>
  <c r="A139" i="161" s="1"/>
  <c r="A140" i="161" s="1"/>
  <c r="A141" i="161" s="1"/>
  <c r="A142" i="161" s="1"/>
  <c r="A143" i="161" s="1"/>
  <c r="A144" i="161" s="1"/>
  <c r="A145" i="161" s="1"/>
  <c r="A146" i="161" s="1"/>
  <c r="A147" i="161" s="1"/>
  <c r="A148" i="161" s="1"/>
  <c r="A149" i="161" s="1"/>
  <c r="A150" i="161" s="1"/>
  <c r="A151" i="161" s="1"/>
  <c r="A152" i="161" s="1"/>
  <c r="A153" i="161" s="1"/>
  <c r="A154" i="161" s="1"/>
  <c r="A155" i="161" s="1"/>
  <c r="A156" i="161" s="1"/>
  <c r="A157" i="161" s="1"/>
  <c r="A158" i="161" s="1"/>
  <c r="A159" i="161" s="1"/>
  <c r="A160" i="161" s="1"/>
  <c r="A161" i="161" s="1"/>
  <c r="A162" i="161" s="1"/>
  <c r="A163" i="161" s="1"/>
  <c r="A164" i="161" s="1"/>
  <c r="A165" i="161" s="1"/>
  <c r="A166" i="161" s="1"/>
  <c r="H109" i="161"/>
  <c r="H110" i="161" s="1"/>
  <c r="H111" i="161" s="1"/>
  <c r="H112" i="161" s="1"/>
  <c r="H113" i="161" s="1"/>
  <c r="H114" i="161" s="1"/>
  <c r="H115" i="161" s="1"/>
  <c r="H116" i="161" s="1"/>
  <c r="H117" i="161" s="1"/>
  <c r="H118" i="161" s="1"/>
  <c r="H119" i="161" s="1"/>
  <c r="H120" i="161" s="1"/>
  <c r="H121" i="161" s="1"/>
  <c r="H122" i="161" s="1"/>
  <c r="H123" i="161" s="1"/>
  <c r="H124" i="161" s="1"/>
  <c r="H125" i="161" s="1"/>
  <c r="H126" i="161" s="1"/>
  <c r="H127" i="161" s="1"/>
  <c r="H128" i="161" s="1"/>
  <c r="H129" i="161" s="1"/>
  <c r="H130" i="161" s="1"/>
  <c r="H131" i="161" s="1"/>
  <c r="H132" i="161" s="1"/>
  <c r="H133" i="161" s="1"/>
  <c r="H134" i="161" s="1"/>
  <c r="H135" i="161" s="1"/>
  <c r="H136" i="161" s="1"/>
  <c r="H137" i="161" s="1"/>
  <c r="H138" i="161" s="1"/>
  <c r="H139" i="161" s="1"/>
  <c r="H140" i="161" s="1"/>
  <c r="H141" i="161" s="1"/>
  <c r="H142" i="161" s="1"/>
  <c r="H143" i="161" s="1"/>
  <c r="H144" i="161" s="1"/>
  <c r="H145" i="161" s="1"/>
  <c r="H146" i="161" s="1"/>
  <c r="H147" i="161" s="1"/>
  <c r="H148" i="161" s="1"/>
  <c r="H149" i="161" s="1"/>
  <c r="H150" i="161" s="1"/>
  <c r="H151" i="161" s="1"/>
  <c r="H152" i="161" s="1"/>
  <c r="H153" i="161" s="1"/>
  <c r="H154" i="161" s="1"/>
  <c r="H155" i="161" s="1"/>
  <c r="H156" i="161" s="1"/>
  <c r="H157" i="161" s="1"/>
  <c r="H158" i="161" s="1"/>
  <c r="H159" i="161" s="1"/>
  <c r="H160" i="161" s="1"/>
  <c r="H161" i="161" s="1"/>
  <c r="H162" i="161" s="1"/>
  <c r="H163" i="161" s="1"/>
  <c r="H164" i="161" s="1"/>
  <c r="H165" i="161" s="1"/>
  <c r="H166" i="161" s="1"/>
  <c r="A58" i="161"/>
  <c r="A59" i="161" s="1"/>
  <c r="A60" i="161" s="1"/>
  <c r="A61" i="161" s="1"/>
  <c r="A62" i="161" s="1"/>
  <c r="A63" i="161" s="1"/>
  <c r="A64" i="161" s="1"/>
  <c r="A65" i="161" s="1"/>
  <c r="A66" i="161" s="1"/>
  <c r="A67" i="161" s="1"/>
  <c r="A68" i="161" s="1"/>
  <c r="A69" i="161" s="1"/>
  <c r="A70" i="161" s="1"/>
  <c r="A71" i="161" s="1"/>
  <c r="A72" i="161" s="1"/>
  <c r="A73" i="161" s="1"/>
  <c r="A74" i="161" s="1"/>
  <c r="A75" i="161" s="1"/>
  <c r="A76" i="161" s="1"/>
  <c r="A77" i="161" s="1"/>
  <c r="A78" i="161" s="1"/>
  <c r="A79" i="161" s="1"/>
  <c r="A80" i="161" s="1"/>
  <c r="A81" i="161" s="1"/>
  <c r="A82" i="161" s="1"/>
  <c r="A83" i="161" s="1"/>
  <c r="A84" i="161" s="1"/>
  <c r="A85" i="161" s="1"/>
  <c r="A86" i="161" s="1"/>
  <c r="A87" i="161" s="1"/>
  <c r="A88" i="161" s="1"/>
  <c r="A89" i="161" s="1"/>
  <c r="A90" i="161" s="1"/>
  <c r="A91" i="161" s="1"/>
  <c r="A92" i="161" s="1"/>
  <c r="A93" i="161" s="1"/>
  <c r="A94" i="161" s="1"/>
  <c r="H57" i="161"/>
  <c r="H58" i="161" s="1"/>
  <c r="H59" i="161" s="1"/>
  <c r="H60" i="161" s="1"/>
  <c r="H61" i="161" s="1"/>
  <c r="H62" i="161" s="1"/>
  <c r="H63" i="161" s="1"/>
  <c r="H64" i="161" s="1"/>
  <c r="H65" i="161" s="1"/>
  <c r="H66" i="161" s="1"/>
  <c r="H67" i="161" s="1"/>
  <c r="H68" i="161" s="1"/>
  <c r="H69" i="161" s="1"/>
  <c r="H70" i="161" s="1"/>
  <c r="H71" i="161" s="1"/>
  <c r="H72" i="161" s="1"/>
  <c r="H73" i="161" s="1"/>
  <c r="H74" i="161" s="1"/>
  <c r="H75" i="161" s="1"/>
  <c r="H76" i="161" s="1"/>
  <c r="H77" i="161" s="1"/>
  <c r="H78" i="161" s="1"/>
  <c r="H79" i="161" s="1"/>
  <c r="H80" i="161" s="1"/>
  <c r="H81" i="161" s="1"/>
  <c r="H82" i="161" s="1"/>
  <c r="H83" i="161" s="1"/>
  <c r="H84" i="161" s="1"/>
  <c r="H85" i="161" s="1"/>
  <c r="H86" i="161" s="1"/>
  <c r="H87" i="161" s="1"/>
  <c r="H88" i="161" s="1"/>
  <c r="H89" i="161" s="1"/>
  <c r="H90" i="161" s="1"/>
  <c r="H91" i="161" s="1"/>
  <c r="H92" i="161" s="1"/>
  <c r="H93" i="161" s="1"/>
  <c r="H94" i="161" s="1"/>
  <c r="A13" i="161"/>
  <c r="A14" i="161" s="1"/>
  <c r="A15" i="161" s="1"/>
  <c r="A16" i="161" s="1"/>
  <c r="A17" i="161" s="1"/>
  <c r="A18" i="161" s="1"/>
  <c r="A19" i="161" s="1"/>
  <c r="A20" i="161" s="1"/>
  <c r="A21" i="161" s="1"/>
  <c r="A22" i="161" s="1"/>
  <c r="A23" i="161" s="1"/>
  <c r="A24" i="161" s="1"/>
  <c r="A25" i="161" s="1"/>
  <c r="A26" i="161" s="1"/>
  <c r="A27" i="161" s="1"/>
  <c r="A28" i="161" s="1"/>
  <c r="A29" i="161" s="1"/>
  <c r="A30" i="161" s="1"/>
  <c r="A31" i="161" s="1"/>
  <c r="A32" i="161" s="1"/>
  <c r="A33" i="161" s="1"/>
  <c r="A34" i="161" s="1"/>
  <c r="A35" i="161" s="1"/>
  <c r="A36" i="161" s="1"/>
  <c r="A37" i="161" s="1"/>
  <c r="A38" i="161" s="1"/>
  <c r="A39" i="161" s="1"/>
  <c r="A40" i="161" s="1"/>
  <c r="A41" i="161" s="1"/>
  <c r="A42" i="161" s="1"/>
  <c r="H12" i="161"/>
  <c r="H13" i="161" s="1"/>
  <c r="H14" i="161" s="1"/>
  <c r="H15" i="161" s="1"/>
  <c r="H16" i="161" s="1"/>
  <c r="H17" i="161" s="1"/>
  <c r="H18" i="161" s="1"/>
  <c r="H19" i="161" s="1"/>
  <c r="H20" i="161" s="1"/>
  <c r="H21" i="161" s="1"/>
  <c r="H22" i="161" s="1"/>
  <c r="H23" i="161" s="1"/>
  <c r="H24" i="161" s="1"/>
  <c r="H25" i="161" s="1"/>
  <c r="H26" i="161" s="1"/>
  <c r="H27" i="161" s="1"/>
  <c r="H28" i="161" s="1"/>
  <c r="H29" i="161" s="1"/>
  <c r="H30" i="161" s="1"/>
  <c r="H31" i="161" s="1"/>
  <c r="H32" i="161" s="1"/>
  <c r="H33" i="161" s="1"/>
  <c r="H34" i="161" s="1"/>
  <c r="H35" i="161" s="1"/>
  <c r="H36" i="161" s="1"/>
  <c r="H37" i="161" s="1"/>
  <c r="H38" i="161" s="1"/>
  <c r="H39" i="161" s="1"/>
  <c r="H40" i="161" s="1"/>
  <c r="H41" i="161" s="1"/>
  <c r="H42" i="161" s="1"/>
  <c r="B51" i="161"/>
  <c r="G29" i="157"/>
  <c r="C57" i="157"/>
  <c r="I52" i="157"/>
  <c r="I53" i="157" s="1"/>
  <c r="I54" i="157" s="1"/>
  <c r="I55" i="157" s="1"/>
  <c r="A52" i="157"/>
  <c r="A53" i="157" s="1"/>
  <c r="A54" i="157" s="1"/>
  <c r="A55" i="157" s="1"/>
  <c r="C29" i="157"/>
  <c r="G102" i="192" l="1"/>
  <c r="B103" i="161"/>
  <c r="O25" i="163"/>
  <c r="B50" i="163"/>
  <c r="B49" i="163"/>
  <c r="B48" i="163"/>
  <c r="A32" i="163"/>
  <c r="A33" i="163" s="1"/>
  <c r="A34" i="163" s="1"/>
  <c r="A35" i="163" s="1"/>
  <c r="A36" i="163" s="1"/>
  <c r="A37" i="163" s="1"/>
  <c r="A38" i="163" s="1"/>
  <c r="A39" i="163" s="1"/>
  <c r="A40" i="163" s="1"/>
  <c r="A41" i="163" s="1"/>
  <c r="A42" i="163" s="1"/>
  <c r="C27" i="163"/>
  <c r="O27" i="163" s="1"/>
  <c r="G94" i="192" l="1"/>
  <c r="G103" i="192" s="1"/>
  <c r="G101" i="203"/>
  <c r="G93" i="203"/>
  <c r="G102" i="203" s="1"/>
  <c r="G106" i="192"/>
  <c r="G109" i="192" s="1"/>
  <c r="E136" i="205" s="1"/>
  <c r="G105" i="203" l="1"/>
  <c r="G108" i="203" s="1"/>
  <c r="G112" i="203" s="1"/>
  <c r="G113" i="192"/>
  <c r="E137" i="161"/>
  <c r="C50" i="159"/>
  <c r="C53" i="157" s="1"/>
  <c r="B46" i="159"/>
  <c r="B44" i="159"/>
  <c r="B42" i="159"/>
  <c r="B40" i="159"/>
  <c r="B38" i="159"/>
  <c r="B36" i="159"/>
  <c r="B48" i="159"/>
  <c r="A11" i="159"/>
  <c r="A12" i="159" s="1"/>
  <c r="A13" i="159" s="1"/>
  <c r="A14" i="159" s="1"/>
  <c r="A15" i="159" s="1"/>
  <c r="A16" i="159" s="1"/>
  <c r="A17" i="159" s="1"/>
  <c r="A18" i="159" s="1"/>
  <c r="A19" i="159" s="1"/>
  <c r="A20" i="159" s="1"/>
  <c r="A21" i="159" s="1"/>
  <c r="A22" i="159" s="1"/>
  <c r="A23" i="159" s="1"/>
  <c r="A24" i="159" s="1"/>
  <c r="A25" i="159" s="1"/>
  <c r="A26" i="159" s="1"/>
  <c r="A27" i="159" s="1"/>
  <c r="A28" i="159" s="1"/>
  <c r="A29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s="1"/>
  <c r="A46" i="159" s="1"/>
  <c r="A47" i="159" s="1"/>
  <c r="A48" i="159" s="1"/>
  <c r="A49" i="159" s="1"/>
  <c r="A50" i="159" s="1"/>
  <c r="A51" i="159" s="1"/>
  <c r="A52" i="159" s="1"/>
  <c r="A53" i="159" s="1"/>
  <c r="A54" i="159" s="1"/>
  <c r="A55" i="159" s="1"/>
  <c r="A56" i="159" s="1"/>
  <c r="A57" i="159" s="1"/>
  <c r="F10" i="159"/>
  <c r="F11" i="159" s="1"/>
  <c r="F12" i="159" s="1"/>
  <c r="F13" i="159" s="1"/>
  <c r="F14" i="159" s="1"/>
  <c r="F15" i="159" s="1"/>
  <c r="F16" i="159" s="1"/>
  <c r="F17" i="159" s="1"/>
  <c r="F18" i="159" s="1"/>
  <c r="F19" i="159" s="1"/>
  <c r="F20" i="159" s="1"/>
  <c r="F21" i="159" s="1"/>
  <c r="F22" i="159" s="1"/>
  <c r="F23" i="159" s="1"/>
  <c r="F24" i="159" s="1"/>
  <c r="F25" i="159" s="1"/>
  <c r="F26" i="159" s="1"/>
  <c r="F27" i="159" s="1"/>
  <c r="F28" i="159" s="1"/>
  <c r="F29" i="159" s="1"/>
  <c r="F35" i="159" s="1"/>
  <c r="F36" i="159" s="1"/>
  <c r="F37" i="159" s="1"/>
  <c r="F38" i="159" s="1"/>
  <c r="F39" i="159" s="1"/>
  <c r="F40" i="159" s="1"/>
  <c r="F41" i="159" s="1"/>
  <c r="F42" i="159" s="1"/>
  <c r="F43" i="159" s="1"/>
  <c r="F44" i="159" s="1"/>
  <c r="F45" i="159" s="1"/>
  <c r="F46" i="159" s="1"/>
  <c r="F47" i="159" s="1"/>
  <c r="F48" i="159" s="1"/>
  <c r="F49" i="159" s="1"/>
  <c r="F50" i="159" s="1"/>
  <c r="F51" i="159" s="1"/>
  <c r="F52" i="159" s="1"/>
  <c r="F53" i="159" s="1"/>
  <c r="F54" i="159" s="1"/>
  <c r="F55" i="159" s="1"/>
  <c r="F56" i="159" s="1"/>
  <c r="F57" i="159" s="1"/>
  <c r="B59" i="157"/>
  <c r="G57" i="157"/>
  <c r="B51" i="157"/>
  <c r="B49" i="157"/>
  <c r="B47" i="157"/>
  <c r="B45" i="157"/>
  <c r="B43" i="157"/>
  <c r="B41" i="157"/>
  <c r="B39" i="157"/>
  <c r="E35" i="157"/>
  <c r="C35" i="157"/>
  <c r="A14" i="157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I13" i="157"/>
  <c r="I14" i="157" s="1"/>
  <c r="I15" i="157" s="1"/>
  <c r="I16" i="157" s="1"/>
  <c r="I17" i="157" s="1"/>
  <c r="I18" i="157" s="1"/>
  <c r="I19" i="157" s="1"/>
  <c r="I20" i="157" s="1"/>
  <c r="I21" i="157" s="1"/>
  <c r="I22" i="157" s="1"/>
  <c r="I23" i="157" s="1"/>
  <c r="I24" i="157" s="1"/>
  <c r="I25" i="157" s="1"/>
  <c r="I26" i="157" s="1"/>
  <c r="I27" i="157" s="1"/>
  <c r="G14" i="158"/>
  <c r="G15" i="158" s="1"/>
  <c r="G16" i="158" s="1"/>
  <c r="G17" i="158" s="1"/>
  <c r="G18" i="158" s="1"/>
  <c r="G19" i="158" s="1"/>
  <c r="G20" i="158" s="1"/>
  <c r="G21" i="158" s="1"/>
  <c r="G13" i="158"/>
  <c r="A13" i="158"/>
  <c r="A14" i="158" s="1"/>
  <c r="A15" i="158" s="1"/>
  <c r="A16" i="158" s="1"/>
  <c r="A17" i="158" s="1"/>
  <c r="A18" i="158" s="1"/>
  <c r="A19" i="158" s="1"/>
  <c r="A20" i="158" s="1"/>
  <c r="A21" i="158" s="1"/>
  <c r="G12" i="158"/>
  <c r="A12" i="158"/>
  <c r="E159" i="205" l="1"/>
  <c r="E161" i="205" s="1"/>
  <c r="E165" i="205" s="1"/>
  <c r="E142" i="205" s="1"/>
  <c r="E144" i="205" s="1"/>
  <c r="E115" i="205" s="1"/>
  <c r="E117" i="205" s="1"/>
  <c r="E121" i="205" s="1"/>
  <c r="E125" i="205" s="1"/>
  <c r="E80" i="205" s="1"/>
  <c r="E20" i="205" s="1"/>
  <c r="E89" i="205"/>
  <c r="E91" i="205" s="1"/>
  <c r="E93" i="205" s="1"/>
  <c r="E28" i="205" s="1"/>
  <c r="E160" i="161"/>
  <c r="E90" i="161"/>
  <c r="I28" i="157"/>
  <c r="I29" i="157" s="1"/>
  <c r="I30" i="157" s="1"/>
  <c r="I31" i="157" s="1"/>
  <c r="I32" i="157" s="1"/>
  <c r="I38" i="157" s="1"/>
  <c r="I39" i="157" s="1"/>
  <c r="I40" i="157" s="1"/>
  <c r="I41" i="157" s="1"/>
  <c r="I42" i="157" s="1"/>
  <c r="I43" i="157" s="1"/>
  <c r="I44" i="157" s="1"/>
  <c r="I45" i="157" s="1"/>
  <c r="I46" i="157" s="1"/>
  <c r="I47" i="157" s="1"/>
  <c r="I48" i="157" s="1"/>
  <c r="I49" i="157" s="1"/>
  <c r="I50" i="157" s="1"/>
  <c r="I51" i="157" s="1"/>
  <c r="I56" i="157" s="1"/>
  <c r="I57" i="157" s="1"/>
  <c r="I58" i="157" s="1"/>
  <c r="I59" i="157" s="1"/>
  <c r="I60" i="157" s="1"/>
  <c r="A26" i="157"/>
  <c r="A27" i="157" s="1"/>
  <c r="E30" i="205" l="1"/>
  <c r="E32" i="205" s="1"/>
  <c r="E34" i="205" s="1"/>
  <c r="E39" i="205" s="1"/>
  <c r="E41" i="205" s="1"/>
  <c r="D12" i="207"/>
  <c r="D21" i="207" s="1"/>
  <c r="D23" i="207" s="1"/>
  <c r="C28" i="206" s="1"/>
  <c r="C12" i="159"/>
  <c r="A28" i="157"/>
  <c r="A29" i="157" s="1"/>
  <c r="A30" i="157" s="1"/>
  <c r="A31" i="157" s="1"/>
  <c r="A32" i="157" s="1"/>
  <c r="A38" i="157" s="1"/>
  <c r="A39" i="157" s="1"/>
  <c r="A40" i="157" s="1"/>
  <c r="A41" i="157" s="1"/>
  <c r="A42" i="157" s="1"/>
  <c r="A43" i="157" s="1"/>
  <c r="A44" i="157" s="1"/>
  <c r="A45" i="157" s="1"/>
  <c r="A46" i="157" s="1"/>
  <c r="A47" i="157" s="1"/>
  <c r="A48" i="157" s="1"/>
  <c r="A49" i="157" s="1"/>
  <c r="A50" i="157" s="1"/>
  <c r="A51" i="157" s="1"/>
  <c r="A56" i="157" s="1"/>
  <c r="A57" i="157" s="1"/>
  <c r="A58" i="157" s="1"/>
  <c r="A59" i="157" s="1"/>
  <c r="A60" i="157" s="1"/>
  <c r="L28" i="206" l="1"/>
  <c r="L30" i="206" s="1"/>
  <c r="J28" i="206"/>
  <c r="J30" i="206" s="1"/>
  <c r="C30" i="206"/>
  <c r="F28" i="206"/>
  <c r="F30" i="206" s="1"/>
  <c r="M28" i="206"/>
  <c r="M30" i="206" s="1"/>
  <c r="K28" i="206"/>
  <c r="K30" i="206" s="1"/>
  <c r="N28" i="206"/>
  <c r="N30" i="206" s="1"/>
  <c r="I28" i="206"/>
  <c r="I30" i="206" s="1"/>
  <c r="G28" i="206"/>
  <c r="G30" i="206" s="1"/>
  <c r="H28" i="206"/>
  <c r="H30" i="206" s="1"/>
  <c r="D28" i="206"/>
  <c r="D30" i="206" s="1"/>
  <c r="E28" i="206"/>
  <c r="E30" i="206" s="1"/>
  <c r="E66" i="161"/>
  <c r="E15" i="161" s="1"/>
  <c r="N35" i="206" l="1"/>
  <c r="O28" i="206"/>
  <c r="O30" i="206" s="1"/>
  <c r="G35" i="206"/>
  <c r="F35" i="206"/>
  <c r="H35" i="206"/>
  <c r="C35" i="206"/>
  <c r="C36" i="206" s="1"/>
  <c r="C38" i="206" s="1"/>
  <c r="E35" i="206"/>
  <c r="E36" i="206" s="1"/>
  <c r="E38" i="206" s="1"/>
  <c r="J35" i="206"/>
  <c r="K35" i="206"/>
  <c r="I35" i="206"/>
  <c r="D35" i="206"/>
  <c r="D36" i="206" s="1"/>
  <c r="D38" i="206" s="1"/>
  <c r="L35" i="206"/>
  <c r="M35" i="206"/>
  <c r="E78" i="161"/>
  <c r="E19" i="161" s="1"/>
  <c r="C40" i="206" l="1"/>
  <c r="D11" i="206" s="1"/>
  <c r="D40" i="206" s="1"/>
  <c r="E11" i="206" s="1"/>
  <c r="E40" i="206" s="1"/>
  <c r="F34" i="206" l="1"/>
  <c r="F36" i="206" s="1"/>
  <c r="F38" i="206" s="1"/>
  <c r="F11" i="206"/>
  <c r="H34" i="206"/>
  <c r="H36" i="206" s="1"/>
  <c r="H38" i="206" s="1"/>
  <c r="G34" i="206"/>
  <c r="G36" i="206" s="1"/>
  <c r="G38" i="206" s="1"/>
  <c r="G148" i="192"/>
  <c r="G140" i="192"/>
  <c r="G149" i="192" s="1"/>
  <c r="F40" i="206" l="1"/>
  <c r="G11" i="206" s="1"/>
  <c r="G40" i="206" s="1"/>
  <c r="H11" i="206" s="1"/>
  <c r="H40" i="206" s="1"/>
  <c r="G152" i="192"/>
  <c r="G155" i="192" s="1"/>
  <c r="G159" i="192" s="1"/>
  <c r="I34" i="206" l="1"/>
  <c r="I36" i="206" s="1"/>
  <c r="I38" i="206" s="1"/>
  <c r="K34" i="206"/>
  <c r="K36" i="206" s="1"/>
  <c r="K38" i="206" s="1"/>
  <c r="J34" i="206"/>
  <c r="J36" i="206" s="1"/>
  <c r="J38" i="206" s="1"/>
  <c r="I11" i="206"/>
  <c r="I40" i="206" s="1"/>
  <c r="J11" i="206" s="1"/>
  <c r="J40" i="206" s="1"/>
  <c r="K11" i="206" s="1"/>
  <c r="K40" i="206" s="1"/>
  <c r="C25" i="157"/>
  <c r="C48" i="159"/>
  <c r="C51" i="157" s="1"/>
  <c r="L11" i="206" l="1"/>
  <c r="N34" i="206"/>
  <c r="N36" i="206" s="1"/>
  <c r="N38" i="206" s="1"/>
  <c r="L34" i="206"/>
  <c r="L36" i="206" s="1"/>
  <c r="L38" i="206" s="1"/>
  <c r="M34" i="206"/>
  <c r="M36" i="206" s="1"/>
  <c r="M38" i="206" s="1"/>
  <c r="O38" i="206" s="1"/>
  <c r="O40" i="206" s="1"/>
  <c r="C18" i="159" s="1"/>
  <c r="G25" i="157"/>
  <c r="L40" i="206" l="1"/>
  <c r="M11" i="206" s="1"/>
  <c r="M40" i="206" s="1"/>
  <c r="N11" i="206" s="1"/>
  <c r="N40" i="206" s="1"/>
  <c r="G51" i="157"/>
  <c r="E114" i="161" l="1"/>
  <c r="E152" i="161" l="1"/>
  <c r="E154" i="161" s="1"/>
  <c r="E135" i="161" s="1"/>
  <c r="E164" i="161"/>
  <c r="E73" i="161" l="1"/>
  <c r="E17" i="161" s="1"/>
  <c r="E88" i="161" l="1"/>
  <c r="E68" i="161" l="1"/>
  <c r="E62" i="161"/>
  <c r="E13" i="161" s="1"/>
  <c r="E92" i="161" l="1"/>
  <c r="E94" i="161" s="1"/>
  <c r="E29" i="161" s="1"/>
  <c r="E162" i="161"/>
  <c r="E166" i="161" s="1"/>
  <c r="E143" i="161" s="1"/>
  <c r="E145" i="161" s="1"/>
  <c r="E116" i="161" s="1"/>
  <c r="E118" i="161" s="1"/>
  <c r="E122" i="161" s="1"/>
  <c r="E126" i="161" s="1"/>
  <c r="E81" i="161" s="1"/>
  <c r="E21" i="161" s="1"/>
  <c r="E31" i="161" s="1"/>
  <c r="E33" i="161" s="1"/>
  <c r="E35" i="161" s="1"/>
  <c r="E40" i="161" s="1"/>
  <c r="E42" i="161" s="1"/>
  <c r="D13" i="165" l="1"/>
  <c r="C38" i="159" l="1"/>
  <c r="C41" i="157" s="1"/>
  <c r="D22" i="165"/>
  <c r="D24" i="165" s="1"/>
  <c r="C36" i="159"/>
  <c r="C13" i="157"/>
  <c r="M31" i="163" l="1"/>
  <c r="E31" i="163"/>
  <c r="L31" i="163"/>
  <c r="D31" i="163"/>
  <c r="K31" i="163"/>
  <c r="J31" i="163"/>
  <c r="I31" i="163"/>
  <c r="H31" i="163"/>
  <c r="G31" i="163"/>
  <c r="N31" i="163"/>
  <c r="F31" i="163"/>
  <c r="C15" i="157"/>
  <c r="G15" i="157" s="1"/>
  <c r="C17" i="157"/>
  <c r="G17" i="157" s="1"/>
  <c r="C40" i="159"/>
  <c r="C43" i="157" s="1"/>
  <c r="G13" i="157"/>
  <c r="C39" i="157"/>
  <c r="G39" i="157" s="1"/>
  <c r="G41" i="157"/>
  <c r="G43" i="157" l="1"/>
  <c r="L36" i="163"/>
  <c r="M36" i="163"/>
  <c r="N36" i="163"/>
  <c r="I36" i="163"/>
  <c r="K36" i="163"/>
  <c r="J36" i="163"/>
  <c r="H36" i="163"/>
  <c r="G36" i="163"/>
  <c r="F36" i="163"/>
  <c r="O29" i="163"/>
  <c r="O31" i="163" s="1"/>
  <c r="C31" i="163"/>
  <c r="D36" i="163" l="1"/>
  <c r="D37" i="163" s="1"/>
  <c r="D39" i="163" s="1"/>
  <c r="C36" i="163"/>
  <c r="C37" i="163" s="1"/>
  <c r="C39" i="163" s="1"/>
  <c r="E36" i="163"/>
  <c r="E37" i="163" s="1"/>
  <c r="E39" i="163" s="1"/>
  <c r="C41" i="163" l="1"/>
  <c r="D12" i="163" s="1"/>
  <c r="D41" i="163" s="1"/>
  <c r="E12" i="163" s="1"/>
  <c r="E41" i="163" s="1"/>
  <c r="H35" i="163" l="1"/>
  <c r="H37" i="163" s="1"/>
  <c r="H39" i="163" s="1"/>
  <c r="F35" i="163"/>
  <c r="F37" i="163" s="1"/>
  <c r="F39" i="163" s="1"/>
  <c r="F12" i="163"/>
  <c r="G35" i="163"/>
  <c r="G37" i="163" s="1"/>
  <c r="G39" i="163" s="1"/>
  <c r="F41" i="163" l="1"/>
  <c r="G12" i="163" s="1"/>
  <c r="G41" i="163" s="1"/>
  <c r="H12" i="163" s="1"/>
  <c r="H41" i="163" s="1"/>
  <c r="J35" i="163" l="1"/>
  <c r="J37" i="163" s="1"/>
  <c r="J39" i="163" s="1"/>
  <c r="I35" i="163"/>
  <c r="I37" i="163" s="1"/>
  <c r="I39" i="163" s="1"/>
  <c r="K35" i="163"/>
  <c r="K37" i="163" s="1"/>
  <c r="K39" i="163" s="1"/>
  <c r="I12" i="163"/>
  <c r="I41" i="163" l="1"/>
  <c r="J12" i="163" s="1"/>
  <c r="J41" i="163" s="1"/>
  <c r="K12" i="163" s="1"/>
  <c r="K41" i="163" s="1"/>
  <c r="L12" i="163" s="1"/>
  <c r="N35" i="163" l="1"/>
  <c r="N37" i="163" s="1"/>
  <c r="N39" i="163" s="1"/>
  <c r="L35" i="163"/>
  <c r="L37" i="163" s="1"/>
  <c r="L39" i="163" s="1"/>
  <c r="L41" i="163" s="1"/>
  <c r="M12" i="163" s="1"/>
  <c r="M35" i="163"/>
  <c r="M37" i="163" s="1"/>
  <c r="M39" i="163" s="1"/>
  <c r="O39" i="163" l="1"/>
  <c r="O41" i="163" s="1"/>
  <c r="M41" i="163"/>
  <c r="N12" i="163" s="1"/>
  <c r="N41" i="163" s="1"/>
  <c r="C21" i="157" l="1"/>
  <c r="C44" i="159"/>
  <c r="C24" i="159"/>
  <c r="C27" i="157" l="1"/>
  <c r="C28" i="159"/>
  <c r="C47" i="157"/>
  <c r="G21" i="157"/>
  <c r="C31" i="157" l="1"/>
  <c r="C52" i="159"/>
  <c r="D17" i="194"/>
  <c r="D13" i="158"/>
  <c r="G47" i="157"/>
  <c r="C55" i="157" l="1"/>
  <c r="C56" i="159"/>
  <c r="C59" i="157" s="1"/>
  <c r="G59" i="157" s="1"/>
  <c r="D18" i="194"/>
  <c r="D19" i="194" s="1"/>
  <c r="D20" i="194" s="1"/>
  <c r="D21" i="194" s="1"/>
  <c r="D22" i="194" s="1"/>
  <c r="D23" i="194" s="1"/>
  <c r="D24" i="194" s="1"/>
  <c r="D25" i="194" s="1"/>
  <c r="D26" i="194" s="1"/>
  <c r="D27" i="194" s="1"/>
  <c r="D28" i="194" s="1"/>
  <c r="G17" i="194"/>
  <c r="F17" i="194"/>
  <c r="H17" i="194" l="1"/>
  <c r="F18" i="194" s="1"/>
  <c r="G18" i="194" l="1"/>
  <c r="H18" i="194" l="1"/>
  <c r="F19" i="194" s="1"/>
  <c r="G19" i="194"/>
  <c r="H19" i="194" s="1"/>
  <c r="F20" i="194" s="1"/>
  <c r="G20" i="194" s="1"/>
  <c r="H20" i="194" s="1"/>
  <c r="F21" i="194" s="1"/>
  <c r="G21" i="194" s="1"/>
  <c r="H21" i="194" s="1"/>
  <c r="F22" i="194" l="1"/>
  <c r="G22" i="194" s="1"/>
  <c r="H22" i="194" l="1"/>
  <c r="F23" i="194" s="1"/>
  <c r="G23" i="194" l="1"/>
  <c r="H23" i="194" s="1"/>
  <c r="F24" i="194"/>
  <c r="G24" i="194" s="1"/>
  <c r="H24" i="194" l="1"/>
  <c r="F25" i="194" s="1"/>
  <c r="G25" i="194" s="1"/>
  <c r="H25" i="194" s="1"/>
  <c r="F26" i="194" s="1"/>
  <c r="G26" i="194" l="1"/>
  <c r="H26" i="194" s="1"/>
  <c r="F27" i="194" l="1"/>
  <c r="G27" i="194" s="1"/>
  <c r="H27" i="194" l="1"/>
  <c r="F28" i="194" l="1"/>
  <c r="G28" i="194" s="1"/>
  <c r="H28" i="194" s="1"/>
  <c r="F29" i="194" l="1"/>
  <c r="G29" i="194" s="1"/>
  <c r="H29" i="194" s="1"/>
  <c r="F30" i="194" l="1"/>
  <c r="G30" i="194" s="1"/>
  <c r="H30" i="194" s="1"/>
  <c r="F31" i="194" l="1"/>
  <c r="G31" i="194" s="1"/>
  <c r="H31" i="194" l="1"/>
  <c r="F32" i="194" l="1"/>
  <c r="G32" i="194" s="1"/>
  <c r="H32" i="194" s="1"/>
  <c r="F33" i="194" s="1"/>
  <c r="G33" i="194" l="1"/>
  <c r="H33" i="194" s="1"/>
  <c r="F34" i="194" s="1"/>
  <c r="G34" i="194" l="1"/>
  <c r="H34" i="194" s="1"/>
  <c r="F35" i="194" s="1"/>
  <c r="G35" i="194" l="1"/>
  <c r="H35" i="194" s="1"/>
  <c r="F36" i="194" l="1"/>
  <c r="G36" i="194" s="1"/>
  <c r="H36" i="194" s="1"/>
  <c r="F37" i="194" l="1"/>
  <c r="G37" i="194" s="1"/>
  <c r="H37" i="194" s="1"/>
  <c r="F38" i="194" l="1"/>
  <c r="G38" i="194" s="1"/>
  <c r="H38" i="194" s="1"/>
  <c r="F39" i="194" s="1"/>
  <c r="G39" i="194" l="1"/>
  <c r="H39" i="194" s="1"/>
  <c r="F40" i="194" l="1"/>
  <c r="G40" i="194" s="1"/>
  <c r="H40" i="194" s="1"/>
  <c r="F41" i="194" l="1"/>
  <c r="G41" i="194" s="1"/>
  <c r="H41" i="194" s="1"/>
  <c r="F42" i="194" s="1"/>
  <c r="G42" i="194" l="1"/>
  <c r="H42" i="194" s="1"/>
  <c r="F43" i="194" s="1"/>
  <c r="G43" i="194" l="1"/>
  <c r="H43" i="194" s="1"/>
  <c r="F44" i="194" l="1"/>
  <c r="G44" i="194" s="1"/>
  <c r="H44" i="194" s="1"/>
  <c r="F45" i="194" l="1"/>
  <c r="G45" i="194" s="1"/>
  <c r="H45" i="194" s="1"/>
  <c r="F46" i="194" l="1"/>
  <c r="G46" i="194" s="1"/>
  <c r="H46" i="194" l="1"/>
  <c r="F47" i="194" s="1"/>
  <c r="G47" i="194" l="1"/>
  <c r="H47" i="194" s="1"/>
  <c r="F48" i="194" l="1"/>
  <c r="G48" i="194" s="1"/>
  <c r="H48" i="194" s="1"/>
  <c r="F49" i="194" l="1"/>
  <c r="G49" i="194" s="1"/>
  <c r="H49" i="194" s="1"/>
  <c r="F50" i="194" l="1"/>
  <c r="G50" i="194" s="1"/>
  <c r="H50" i="194" s="1"/>
  <c r="F51" i="194" s="1"/>
  <c r="G51" i="194" l="1"/>
  <c r="H51" i="194" s="1"/>
  <c r="F52" i="194" l="1"/>
  <c r="G52" i="194" s="1"/>
  <c r="H52" i="194" s="1"/>
  <c r="F53" i="194" l="1"/>
  <c r="G53" i="194" s="1"/>
  <c r="H53" i="194" s="1"/>
  <c r="F54" i="194" s="1"/>
  <c r="G54" i="194" l="1"/>
  <c r="H54" i="194" s="1"/>
  <c r="F55" i="194" l="1"/>
  <c r="G55" i="194" s="1"/>
  <c r="H55" i="194" l="1"/>
  <c r="F56" i="194" l="1"/>
  <c r="G56" i="194" s="1"/>
  <c r="H56" i="194" s="1"/>
  <c r="F57" i="194" l="1"/>
  <c r="G57" i="194" s="1"/>
  <c r="H57" i="194" s="1"/>
  <c r="F58" i="194" l="1"/>
  <c r="G58" i="194" s="1"/>
  <c r="H58" i="194" s="1"/>
  <c r="F59" i="194" l="1"/>
  <c r="G59" i="194" s="1"/>
  <c r="H59" i="194" s="1"/>
  <c r="F60" i="194" s="1"/>
  <c r="G60" i="194" l="1"/>
  <c r="H60" i="194" s="1"/>
  <c r="F61" i="194" l="1"/>
  <c r="G61" i="194" s="1"/>
  <c r="H61" i="194" s="1"/>
  <c r="F62" i="194" l="1"/>
  <c r="G62" i="194" s="1"/>
  <c r="H62" i="194" s="1"/>
  <c r="F63" i="194" s="1"/>
  <c r="G63" i="194" l="1"/>
  <c r="H63" i="194" s="1"/>
  <c r="F64" i="194" s="1"/>
  <c r="G64" i="194" l="1"/>
  <c r="H64" i="194" s="1"/>
  <c r="F65" i="194" s="1"/>
  <c r="G65" i="194" l="1"/>
  <c r="H65" i="194" s="1"/>
  <c r="F66" i="194" s="1"/>
  <c r="G66" i="194" l="1"/>
  <c r="H66" i="194" s="1"/>
  <c r="F67" i="194" s="1"/>
  <c r="G67" i="194" l="1"/>
  <c r="H67" i="194" s="1"/>
  <c r="F68" i="194" s="1"/>
  <c r="G68" i="194" l="1"/>
  <c r="H68" i="194" s="1"/>
  <c r="F69" i="194" l="1"/>
  <c r="G69" i="194" s="1"/>
  <c r="H69" i="194" l="1"/>
  <c r="F70" i="194" s="1"/>
  <c r="G70" i="194" l="1"/>
  <c r="H70" i="194" s="1"/>
  <c r="F71" i="194" l="1"/>
  <c r="G71" i="194" s="1"/>
  <c r="H71" i="194" l="1"/>
  <c r="F72" i="194" l="1"/>
  <c r="G72" i="194" s="1"/>
  <c r="H72" i="194" s="1"/>
  <c r="F73" i="194" l="1"/>
  <c r="G73" i="194" s="1"/>
  <c r="H73" i="194" s="1"/>
  <c r="F74" i="194" l="1"/>
  <c r="G74" i="194" s="1"/>
  <c r="H74" i="194" s="1"/>
  <c r="F75" i="194" s="1"/>
  <c r="G75" i="194" l="1"/>
  <c r="H75" i="194" s="1"/>
  <c r="F76" i="194" l="1"/>
  <c r="G76" i="194" s="1"/>
  <c r="H76" i="194" s="1"/>
  <c r="F77" i="194" s="1"/>
  <c r="G77" i="194" l="1"/>
  <c r="H77" i="194" s="1"/>
  <c r="F78" i="194" l="1"/>
  <c r="G78" i="194" s="1"/>
  <c r="H78" i="194" l="1"/>
  <c r="F79" i="194" l="1"/>
  <c r="G79" i="194" s="1"/>
  <c r="H79" i="194" s="1"/>
  <c r="F80" i="194" l="1"/>
  <c r="G80" i="194" s="1"/>
  <c r="H80" i="194" s="1"/>
  <c r="F81" i="194" s="1"/>
  <c r="G81" i="194" l="1"/>
  <c r="H81" i="194" s="1"/>
  <c r="F82" i="194" l="1"/>
  <c r="G82" i="194" s="1"/>
  <c r="H82" i="194" s="1"/>
  <c r="F83" i="194" l="1"/>
  <c r="G83" i="194" s="1"/>
  <c r="H83" i="194" s="1"/>
  <c r="F84" i="194" l="1"/>
  <c r="G84" i="194" s="1"/>
  <c r="H84" i="194" s="1"/>
  <c r="F85" i="194" l="1"/>
  <c r="G85" i="194" s="1"/>
  <c r="H85" i="194" s="1"/>
  <c r="F86" i="194" s="1"/>
  <c r="G86" i="194" l="1"/>
  <c r="H86" i="194" s="1"/>
  <c r="F87" i="194" l="1"/>
  <c r="G87" i="194" s="1"/>
  <c r="H87" i="194" s="1"/>
  <c r="F88" i="194" l="1"/>
  <c r="G88" i="194" s="1"/>
  <c r="H88" i="194" l="1"/>
  <c r="F89" i="194" l="1"/>
  <c r="G89" i="194" s="1"/>
  <c r="H89" i="194" s="1"/>
  <c r="F90" i="194" l="1"/>
  <c r="G90" i="194" s="1"/>
  <c r="H90" i="194" s="1"/>
  <c r="F91" i="194" l="1"/>
  <c r="G91" i="194" s="1"/>
  <c r="H91" i="194" s="1"/>
  <c r="F92" i="194" l="1"/>
  <c r="G92" i="194" s="1"/>
  <c r="H92" i="194" s="1"/>
  <c r="F93" i="194" l="1"/>
  <c r="G93" i="194" s="1"/>
  <c r="H93" i="194" s="1"/>
  <c r="F94" i="194" l="1"/>
  <c r="G94" i="194" s="1"/>
  <c r="H94" i="194" l="1"/>
  <c r="F95" i="194" l="1"/>
  <c r="G95" i="194" s="1"/>
  <c r="H95" i="194" s="1"/>
  <c r="F96" i="194" l="1"/>
  <c r="G96" i="194" s="1"/>
  <c r="H96" i="194" s="1"/>
  <c r="F97" i="194" l="1"/>
  <c r="G97" i="194" s="1"/>
  <c r="H97" i="194" s="1"/>
  <c r="F98" i="194" l="1"/>
  <c r="G98" i="194" s="1"/>
  <c r="H98" i="194" s="1"/>
  <c r="F99" i="194" l="1"/>
  <c r="G99" i="194" s="1"/>
  <c r="H99" i="194" s="1"/>
  <c r="F100" i="194" l="1"/>
  <c r="G100" i="194" s="1"/>
  <c r="H100" i="194" l="1"/>
  <c r="F101" i="194" l="1"/>
  <c r="G101" i="194" s="1"/>
  <c r="H101" i="194" s="1"/>
  <c r="F102" i="194" l="1"/>
  <c r="G102" i="194" l="1"/>
  <c r="H102" i="194" s="1"/>
  <c r="F103" i="194" s="1"/>
  <c r="G103" i="194" l="1"/>
  <c r="H103" i="194" s="1"/>
  <c r="F104" i="194" l="1"/>
  <c r="G104" i="194" s="1"/>
  <c r="H104" i="194" s="1"/>
  <c r="F105" i="194" l="1"/>
  <c r="G105" i="194" s="1"/>
  <c r="H105" i="194" s="1"/>
  <c r="F106" i="194" l="1"/>
  <c r="G106" i="194" s="1"/>
  <c r="H106" i="194" s="1"/>
  <c r="F107" i="194" l="1"/>
  <c r="G107" i="194" s="1"/>
  <c r="H107" i="194" l="1"/>
  <c r="F108" i="194" s="1"/>
  <c r="G108" i="194" s="1"/>
  <c r="H108" i="194" l="1"/>
  <c r="F109" i="194" s="1"/>
  <c r="G109" i="194" s="1"/>
  <c r="H109" i="194" l="1"/>
  <c r="F110" i="194"/>
  <c r="G110" i="194" s="1"/>
  <c r="H110" i="194" l="1"/>
  <c r="F111" i="194" l="1"/>
  <c r="G111" i="194" s="1"/>
  <c r="H111" i="194" l="1"/>
  <c r="G113" i="194"/>
  <c r="F112" i="194"/>
  <c r="G112" i="194" s="1"/>
  <c r="H112" i="194" l="1"/>
  <c r="D15" i="158"/>
  <c r="D17" i="158" s="1"/>
  <c r="D21" i="158" l="1"/>
</calcChain>
</file>

<file path=xl/sharedStrings.xml><?xml version="1.0" encoding="utf-8"?>
<sst xmlns="http://schemas.openxmlformats.org/spreadsheetml/2006/main" count="2226" uniqueCount="802">
  <si>
    <t>SAN DIEGO GAS &amp; ELECTRIC COMPANY</t>
  </si>
  <si>
    <t>($1,000)</t>
  </si>
  <si>
    <t>Line</t>
  </si>
  <si>
    <t>No.</t>
  </si>
  <si>
    <t>Total</t>
  </si>
  <si>
    <t>Reference</t>
  </si>
  <si>
    <t xml:space="preserve">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</si>
  <si>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</si>
  <si>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</si>
  <si>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</si>
  <si>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</si>
  <si>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</si>
  <si>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</si>
  <si>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</si>
  <si>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</si>
  <si>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</si>
  <si>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</si>
  <si>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</si>
  <si>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</si>
  <si>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</si>
  <si>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Credit for Citizens Cycle 5 and Cycle 6 Annual Costs</t>
  </si>
  <si>
    <t>CITIZENS SHARE OF THE SUNRISE - BORDER-EAST LINE</t>
  </si>
  <si>
    <t>Transmission Revenues Data to Reflect Changed Rates</t>
  </si>
  <si>
    <t>BORDER -</t>
  </si>
  <si>
    <t>A. Citizens Annual Cost @ Proposed Changed Rates</t>
  </si>
  <si>
    <t>EAST LINE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</si>
  <si>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</si>
  <si>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</si>
  <si>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</si>
  <si>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</si>
  <si>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</si>
  <si>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B. Citizens Monthly Cost @ Proposed Changed Rates</t>
  </si>
  <si>
    <t>Cost Statement BK2</t>
  </si>
  <si>
    <t>Amounts</t>
  </si>
  <si>
    <t>FERC Method = 1/8 of O&amp;M Expense</t>
  </si>
  <si>
    <t>Return Plus FIT and SIT Rate</t>
  </si>
  <si>
    <t>Return Plus FIT and SIT</t>
  </si>
  <si>
    <t>Transmission Related Municipal Franchise Fees Expenses</t>
  </si>
  <si>
    <t xml:space="preserve">Section 2 - Derivation of Non-Direct Expenses Cost Component </t>
  </si>
  <si>
    <t>A. Non-Direct Annual Carrying Charge Percentages</t>
  </si>
  <si>
    <t>Transmission Operations Expense Carrying Charge Percentage</t>
  </si>
  <si>
    <t>Transmission Maintenance Expense Carrying Charge Percentage</t>
  </si>
  <si>
    <t>Transmission Related A&amp;G Carrying Charge Percentage</t>
  </si>
  <si>
    <t>Transmission Related Payroll Tax Carrying Charge Percentage</t>
  </si>
  <si>
    <t>Transmission Related General &amp; Common Plant Revenues Carrying Charge Percentage</t>
  </si>
  <si>
    <t>Transmission Depreciation</t>
  </si>
  <si>
    <t>Not Applicable to Citizens Service</t>
  </si>
  <si>
    <t>Federal and State Income Tax</t>
  </si>
  <si>
    <t>Rate of Return</t>
  </si>
  <si>
    <t>Transmission Related Working Capital Revenue Carrying Charge Percentage</t>
  </si>
  <si>
    <t xml:space="preserve">     Total</t>
  </si>
  <si>
    <t xml:space="preserve">     Annual Carrying Charge Rate as Applied to Leased Transmission Plant</t>
  </si>
  <si>
    <t>B. Derivation of Non-Direct Expense Cost Component</t>
  </si>
  <si>
    <t xml:space="preserve">Citizens Energy Portion of Sunrise Border-East Line </t>
  </si>
  <si>
    <t>Lease Agreement</t>
  </si>
  <si>
    <t>Annual Carrying Charged Rate</t>
  </si>
  <si>
    <t xml:space="preserve">    Annual Transmission Maintenance and Other Costs Charged to Citizens</t>
  </si>
  <si>
    <t>San Diego Gas &amp; Electric Company</t>
  </si>
  <si>
    <t>Total Transmission Plant</t>
  </si>
  <si>
    <t>A. Transmission Related O&amp;M Expenses</t>
  </si>
  <si>
    <t>Transmission Operation Expenses</t>
  </si>
  <si>
    <t xml:space="preserve">     Transmission Operations Expense Carrying Charge Percentage</t>
  </si>
  <si>
    <t>Transmission Maintenance Expenses</t>
  </si>
  <si>
    <t xml:space="preserve">     Transmission Maintenance Expense Carrying Charge Percentage</t>
  </si>
  <si>
    <t>Total Transmission O&amp;M</t>
  </si>
  <si>
    <t>B. Transmission Related A&amp;G Expenses</t>
  </si>
  <si>
    <t>Total Transmission Related A&amp;G Expenses Including Property Ins.</t>
  </si>
  <si>
    <t xml:space="preserve">     Transmission Related A&amp;G Carrying Charge Percentage</t>
  </si>
  <si>
    <t>C. Transmission Related Payroll</t>
  </si>
  <si>
    <t>Transmission Related Payroll Taxes Expense</t>
  </si>
  <si>
    <t xml:space="preserve">     Transmission Related Payroll Tax Carrying Charge Percentage</t>
  </si>
  <si>
    <t>D. Transmission Related General &amp; Common Plant Revenues</t>
  </si>
  <si>
    <t xml:space="preserve">     Transmission Related General &amp; Common Plant Revenues Carrying Charge Percentage</t>
  </si>
  <si>
    <t>E. Transmission Related Working Capital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</si>
  <si>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</si>
  <si>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</si>
  <si>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</si>
  <si>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</si>
  <si>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</si>
  <si>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</si>
  <si>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</si>
  <si>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D1. General &amp; Common Plant Rate</t>
  </si>
  <si>
    <t xml:space="preserve">Total Electric Common Plant Investment </t>
  </si>
  <si>
    <t>Total Electric General Plant Investment</t>
  </si>
  <si>
    <t xml:space="preserve">     Total Electric General and Common Plant</t>
  </si>
  <si>
    <t>Annual Gen &amp; Common Plant Fixed Charge Rate</t>
  </si>
  <si>
    <t xml:space="preserve">     Electric General and Common Plant Revenue</t>
  </si>
  <si>
    <t>Transmission Wages Allocation Factor for Citizens</t>
  </si>
  <si>
    <t xml:space="preserve">     Transmission Related General &amp; Common Plant Revenue </t>
  </si>
  <si>
    <t xml:space="preserve">     Transmission Related General and Common Plant Revenue Carrying Charge Percentage</t>
  </si>
  <si>
    <t>D2. Derivation of General and Common Plant Annual Revenue</t>
  </si>
  <si>
    <t>Maintenance of General and Common Plant</t>
  </si>
  <si>
    <t>Captured in Transmission Plant A&amp;G allocation</t>
  </si>
  <si>
    <t>Payroll Taxes</t>
  </si>
  <si>
    <t>Captured in Transmission Plant Payroll Taxes</t>
  </si>
  <si>
    <t>A&amp;G</t>
  </si>
  <si>
    <t>General and Common Plant Depreciation Rate</t>
  </si>
  <si>
    <r>
      <t>Federal &amp; State Income Tax</t>
    </r>
    <r>
      <rPr>
        <vertAlign val="superscript"/>
        <sz val="12"/>
        <rFont val="Times New Roman"/>
        <family val="1"/>
      </rPr>
      <t xml:space="preserve"> </t>
    </r>
  </si>
  <si>
    <t xml:space="preserve">Rate of Return Adjustment Factor </t>
  </si>
  <si>
    <t>Working Capital</t>
  </si>
  <si>
    <t>Captured in Transmission Plant allocation</t>
  </si>
  <si>
    <t>General &amp; Common Plant Accumulated Deferred Income Taxes (ADIT) Adjustment</t>
  </si>
  <si>
    <t xml:space="preserve">     Annual General and Common Plant Fixed Charge Rate</t>
  </si>
  <si>
    <t>D3. General &amp; Common Plant Rate</t>
  </si>
  <si>
    <t>Common Depreciation Expense</t>
  </si>
  <si>
    <t>General Depreciation Expense</t>
  </si>
  <si>
    <t>Total Electric General and Common Plant</t>
  </si>
  <si>
    <t xml:space="preserve">     Common and General Plant Depreciation Rate</t>
  </si>
  <si>
    <t>D4. Derivation of General and Common Plant ADIT as a Percent of Transmission Plant</t>
  </si>
  <si>
    <t>General and Common Plant ADIT</t>
  </si>
  <si>
    <t xml:space="preserve">     General &amp; Common Plant ADIT Revenues</t>
  </si>
  <si>
    <t>General &amp; Common Plant Investment</t>
  </si>
  <si>
    <t xml:space="preserve">     Transmission Related General &amp; Common Plant ADIT Revenue Carrying Charge Percentage</t>
  </si>
  <si>
    <t>DERIVATION OF CITIZENS TRUE-UP COST OF SERVICE -  (OVER) / UNDERCOLLECTION</t>
  </si>
  <si>
    <t>Description</t>
  </si>
  <si>
    <t>Beginning Balance (Over)/Undercollection</t>
  </si>
  <si>
    <t>Recorded Revenues (Sections 1, 2 &amp; 3)</t>
  </si>
  <si>
    <t>Total Amortization of True-Up Adjustments</t>
  </si>
  <si>
    <t xml:space="preserve">Adjusted Total Recorded Revenues   </t>
  </si>
  <si>
    <t xml:space="preserve">Total True-Up Cost of Service          </t>
  </si>
  <si>
    <t>True-Up Adjustment without Interest - Net Monthly (Over)/Undercollection</t>
  </si>
  <si>
    <t>Interest Expense Calculations:</t>
  </si>
  <si>
    <t>Balance Beginning of Quarter</t>
  </si>
  <si>
    <t xml:space="preserve">   Monthly Activity Included in Interest Calculation Basis</t>
  </si>
  <si>
    <t>See Footnote 2</t>
  </si>
  <si>
    <t xml:space="preserve">   Basis for Interest Expense Calculation</t>
  </si>
  <si>
    <t xml:space="preserve">   Monthly Interest Rate   </t>
  </si>
  <si>
    <t>FERC Interest Rate Website</t>
  </si>
  <si>
    <t xml:space="preserve">   Interest Expense</t>
  </si>
  <si>
    <t>True-Up Adjustment with Interest - Net Monthly (Over)/Undercollection</t>
  </si>
  <si>
    <t>Beginning Balance for Interest Calculation remains constant for 3-Month Quarter as interest is compounded quarterly on these amounts pursuant to FERC Interest Methodology per 18 CFR Section 35.19 (2)(iii)(B).</t>
  </si>
  <si>
    <t>Monthly Activity Calculated as Follows:</t>
  </si>
  <si>
    <t>Columns d, e, and f, etc., repeat the process outlined in (a), (b), and (c ) above.</t>
  </si>
  <si>
    <t>The various True-Up and Interest True-Up Adjustments (Over)/Undercollection are adjustments made to recorded revenues to avoid trueing up the true-up.</t>
  </si>
  <si>
    <t>Derivation of Citizens True-Up Cost of Service</t>
  </si>
  <si>
    <r>
      <t>Reference</t>
    </r>
    <r>
      <rPr>
        <vertAlign val="superscript"/>
        <sz val="12"/>
        <color theme="1"/>
        <rFont val="Times New Roman"/>
        <family val="1"/>
      </rPr>
      <t xml:space="preserve">  </t>
    </r>
    <r>
      <rPr>
        <b/>
        <vertAlign val="superscript"/>
        <sz val="12"/>
        <color theme="1"/>
        <rFont val="Times New Roman"/>
        <family val="1"/>
      </rPr>
      <t>1</t>
    </r>
  </si>
  <si>
    <t>Section 1 - True-Up COS - Direct Maintenance Expense Cost Component</t>
  </si>
  <si>
    <t>Section 2 - True-Up COS - Non-Direct Expense Cost Component</t>
  </si>
  <si>
    <t>Section 3 - True-Up COS - Cost Component Containing Other Specific Expenses:</t>
  </si>
  <si>
    <t xml:space="preserve">   A. ADIT</t>
  </si>
  <si>
    <t xml:space="preserve">   B. Property Taxes </t>
  </si>
  <si>
    <t xml:space="preserve">   C. Non-Deductibility of Depreciation on Equity</t>
  </si>
  <si>
    <t xml:space="preserve">       AFUDC Revenue Component</t>
  </si>
  <si>
    <t xml:space="preserve">   D. Removal Costs </t>
  </si>
  <si>
    <t xml:space="preserve">     Total True-Up Cost of Service</t>
  </si>
  <si>
    <t xml:space="preserve">     Monthly True-Up Cost of Service</t>
  </si>
  <si>
    <t>See Footnote 3</t>
  </si>
  <si>
    <t>FERC Form 1</t>
  </si>
  <si>
    <t>Page; Line; Col.</t>
  </si>
  <si>
    <t>Average Balance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</si>
  <si>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</si>
  <si>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</si>
  <si>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</si>
  <si>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</si>
  <si>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</si>
  <si>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>Month</t>
  </si>
  <si>
    <t>Transmission Related Electric Misc. Intangible Plant Amortization Reserve</t>
  </si>
  <si>
    <t xml:space="preserve">     Total Transmission Related Depreciation Reserve</t>
  </si>
  <si>
    <t>RMS Linking</t>
  </si>
  <si>
    <t>Shall be Zero</t>
  </si>
  <si>
    <t>Statement AH - Workpapers</t>
  </si>
  <si>
    <t>Operation and Maintenance Expenses</t>
  </si>
  <si>
    <t>Derivation of Direct Maintenance Expense:</t>
  </si>
  <si>
    <t>Citizens - Total Direct Maintenance Cost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</si>
  <si>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</si>
  <si>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</si>
  <si>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</si>
  <si>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</si>
  <si>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</si>
  <si>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</si>
  <si>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</si>
  <si>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</si>
  <si>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</si>
  <si>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CPUC Intervenor Funding Expense - Transmission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</si>
  <si>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</si>
  <si>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</si>
  <si>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</si>
  <si>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</si>
  <si>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</si>
  <si>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</si>
  <si>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</si>
  <si>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</si>
  <si>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</si>
  <si>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</si>
  <si>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</si>
  <si>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</si>
  <si>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</si>
  <si>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</si>
  <si>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</si>
  <si>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</si>
  <si>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vertAlign val="superscript"/>
        <sz val="12"/>
        <rFont val="Times New Roman"/>
        <family val="1"/>
      </rPr>
      <t>1</t>
    </r>
  </si>
  <si>
    <t>FERC</t>
  </si>
  <si>
    <t>(c) = (a) - (b)</t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</si>
  <si>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</si>
  <si>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</si>
  <si>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</si>
  <si>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</si>
  <si>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</si>
  <si>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</si>
  <si>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</si>
  <si>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</si>
  <si>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</si>
  <si>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</si>
  <si>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</si>
  <si>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</si>
  <si>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</si>
  <si>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</si>
  <si>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</si>
  <si>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</si>
  <si>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</si>
  <si>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</si>
  <si>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</si>
  <si>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</si>
  <si>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</si>
  <si>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Employee Pensions &amp; Benefits</t>
  </si>
  <si>
    <t>Form 1; Page 323; Line 187</t>
  </si>
  <si>
    <t xml:space="preserve">Franchise Requirements </t>
  </si>
  <si>
    <t>Form 1; Page 323; Line 188</t>
  </si>
  <si>
    <t xml:space="preserve">Regulatory Commission Expenses  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</si>
  <si>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</si>
  <si>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</si>
  <si>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</si>
  <si>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</si>
  <si>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</si>
  <si>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</si>
  <si>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</si>
  <si>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</si>
  <si>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</si>
  <si>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</si>
  <si>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</si>
  <si>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</si>
  <si>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</si>
  <si>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</si>
  <si>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</si>
  <si>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</si>
  <si>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</si>
  <si>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</si>
  <si>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</si>
  <si>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</si>
  <si>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</si>
  <si>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</si>
  <si>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</si>
  <si>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Statement AL - Workpapers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</si>
  <si>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</si>
  <si>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</si>
  <si>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</si>
  <si>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</si>
  <si>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</si>
  <si>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</si>
  <si>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</si>
  <si>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</si>
  <si>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</si>
  <si>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</si>
  <si>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</si>
  <si>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</si>
  <si>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</si>
  <si>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</si>
  <si>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</si>
  <si>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</si>
  <si>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SAN DIEGO GAS AND ELECTRIC COMPANY</t>
  </si>
  <si>
    <t>Statement AV - Workpapers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</si>
  <si>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</si>
  <si>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</si>
  <si>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</si>
  <si>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</si>
  <si>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</si>
  <si>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</si>
  <si>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</si>
  <si>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</si>
  <si>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</si>
  <si>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</si>
  <si>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</si>
  <si>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</si>
  <si>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</si>
  <si>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</si>
  <si>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</si>
  <si>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</si>
  <si>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</si>
  <si>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</si>
  <si>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</si>
  <si>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</si>
  <si>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</si>
  <si>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</si>
  <si>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</si>
  <si>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</si>
  <si>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</si>
  <si>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</si>
  <si>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</si>
  <si>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</si>
  <si>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</si>
  <si>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</si>
  <si>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</si>
  <si>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</si>
  <si>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</si>
  <si>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</si>
  <si>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</si>
  <si>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</si>
  <si>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</si>
  <si>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</si>
  <si>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</si>
  <si>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</si>
  <si>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</si>
  <si>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r>
      <t>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</si>
  <si>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SDG&amp;E Return on Equity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</si>
  <si>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</si>
  <si>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</si>
  <si>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</si>
  <si>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</si>
  <si>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</si>
  <si>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</si>
  <si>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</si>
  <si>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</si>
  <si>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</si>
  <si>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</si>
  <si>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</si>
  <si>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</si>
  <si>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</si>
  <si>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</si>
  <si>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Incentive Weighted Cost of Capital:</t>
  </si>
  <si>
    <t>Incentive Cost of Equity Component (Preferred &amp; Common):</t>
  </si>
  <si>
    <t>Amount is based upon December 31 balances.</t>
  </si>
  <si>
    <t>ROE is pursuant to SDG&amp;E's TO4 Formula Offer of Settlement in Docket No. ER13-941-001.</t>
  </si>
  <si>
    <t>Statement AV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</si>
  <si>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</si>
  <si>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</si>
  <si>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</si>
  <si>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</si>
  <si>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</si>
  <si>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</si>
  <si>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</si>
  <si>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</si>
  <si>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</si>
  <si>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</si>
  <si>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</si>
  <si>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</si>
  <si>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</si>
  <si>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</si>
  <si>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</si>
  <si>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</si>
  <si>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</si>
  <si>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</si>
  <si>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</si>
  <si>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</si>
  <si>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</si>
  <si>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</si>
  <si>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</si>
  <si>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</si>
  <si>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</si>
  <si>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</si>
  <si>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</si>
  <si>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Shall be Zero for Incentive ROE Projects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</si>
  <si>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</si>
  <si>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</si>
  <si>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</si>
  <si>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</si>
  <si>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</si>
  <si>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</si>
  <si>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</si>
  <si>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</si>
  <si>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</si>
  <si>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</si>
  <si>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</si>
  <si>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</si>
  <si>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</si>
  <si>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</si>
  <si>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</si>
  <si>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</si>
  <si>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</si>
  <si>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</si>
  <si>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</si>
  <si>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</si>
  <si>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</si>
  <si>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</si>
  <si>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</si>
  <si>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</si>
  <si>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</si>
  <si>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</si>
  <si>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</si>
  <si>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</si>
  <si>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</si>
  <si>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</si>
  <si>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</si>
  <si>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</si>
  <si>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</si>
  <si>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</si>
  <si>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</si>
  <si>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r>
      <t>D. Incentive Transmission Construction Work In Progress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</si>
  <si>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The FERC approved incentives for each project will be tracked and shown separately by repeating the applicable lines. As a result, the data on this page may</t>
  </si>
  <si>
    <t>carryover to the next page.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</si>
  <si>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</si>
  <si>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</si>
  <si>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</si>
  <si>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</si>
  <si>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</si>
  <si>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</si>
  <si>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</si>
  <si>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</si>
  <si>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r>
      <t>B. Incentive Project Net Transmission Plant: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1</t>
    </r>
  </si>
  <si>
    <t>Incentive Transmission Plant</t>
  </si>
  <si>
    <t>Incentive Transmission Plant Depreciation Reserve</t>
  </si>
  <si>
    <t xml:space="preserve">     Total Net Incentive Transmission Plant</t>
  </si>
  <si>
    <t>Rate Effective Period June 1, 2018 to May 31, 2019</t>
  </si>
  <si>
    <t xml:space="preserve">   True-Up Adjustment derived in Cycle 7</t>
  </si>
  <si>
    <t xml:space="preserve">   Total Citizens Annual Costs</t>
  </si>
  <si>
    <t>Attachment 3; Sec. 5; Page Int TU; Col. r; Line 15</t>
  </si>
  <si>
    <t>Sum Lines 1, 3, 5, 9, 13</t>
  </si>
  <si>
    <t>Cycle 6; Attachment 1; Line 24</t>
  </si>
  <si>
    <t>Line 15 + Line 17</t>
  </si>
  <si>
    <t>Line 1 Above / 12 Months</t>
  </si>
  <si>
    <t>Line 3 Above / 12 Months</t>
  </si>
  <si>
    <t>Line 5 Above / 12 Months</t>
  </si>
  <si>
    <t>Line 9 Above / 12 Months</t>
  </si>
  <si>
    <t>Line 13 Above / 12 Months</t>
  </si>
  <si>
    <t>Line 32 x Line 34</t>
  </si>
  <si>
    <t>Line 17 Above / 12 Months</t>
  </si>
  <si>
    <t>Sum Lines 22 thru 36</t>
  </si>
  <si>
    <t>Line 38 x Line 40</t>
  </si>
  <si>
    <t>Sum Lines 6 thru 13</t>
  </si>
  <si>
    <t xml:space="preserve">   FERC Acct 925 - Damages &amp; Injuries</t>
  </si>
  <si>
    <t xml:space="preserve">   FERC Acct 928 - CPUC Intervenor Funding Expense - Transmission</t>
  </si>
  <si>
    <t xml:space="preserve">   FERC Acct 928 - CPUC reimbursement fees</t>
  </si>
  <si>
    <t xml:space="preserve">   FERC Acct 928 - Litigation expenses - Litigation Cost Memorandum Account (LCMA)</t>
  </si>
  <si>
    <t xml:space="preserve">   FERC Acct 930.1 - General Advertising Expenses </t>
  </si>
  <si>
    <t xml:space="preserve">   FERC Accts 925/926/928/930.2/931 - CPUC energy efficiency programs</t>
  </si>
  <si>
    <t xml:space="preserve">   FERC Acct 927/927 - Other A&amp;G Exclusion Adjustments</t>
  </si>
  <si>
    <t>Negative of AH-3; Line 31; Col. a</t>
  </si>
  <si>
    <t>Negative of AH-3; Line 32; Col. a</t>
  </si>
  <si>
    <t>Negative of AH-3; Line 25; Col. a</t>
  </si>
  <si>
    <t>Negative of AH-3; Line 29; Col. a</t>
  </si>
  <si>
    <t>Negative of AH-3; Line 30; Col. a</t>
  </si>
  <si>
    <t>Negative of AH-3; Line 33; Col. b</t>
  </si>
  <si>
    <t>Negative of AH-3; Sum Lines 24, 26 ,28, 34; Col. a or b</t>
  </si>
  <si>
    <t>Negative of AH-3; Line 37; Col. b</t>
  </si>
  <si>
    <t>Negative of AH-3; Sum Lines 27, 35; Col. b</t>
  </si>
  <si>
    <t xml:space="preserve">   FERC Acct 561.4 - Scheduling, System Control &amp; Dispatch Services</t>
  </si>
  <si>
    <t xml:space="preserve">   FERC Acct 561.8 - Reliability, Planning &amp; Standards Development</t>
  </si>
  <si>
    <t xml:space="preserve">   FERC Acct 565 - Transmission of Electricity by Others</t>
  </si>
  <si>
    <t xml:space="preserve">   FERC Acct 566 - Miscellaneous Transmission Expense </t>
  </si>
  <si>
    <t xml:space="preserve">   FERC Acct 570 - Maintenance of Station Equipment</t>
  </si>
  <si>
    <t xml:space="preserve">   FERC Acct 571 - Maintenance of Overhead Lines</t>
  </si>
  <si>
    <t>Not Applicable to 2017 Base Period</t>
  </si>
  <si>
    <t>Line 4 + Line 8</t>
  </si>
  <si>
    <t xml:space="preserve">Citizen's Share of the Sunrise - Border East-Line </t>
  </si>
  <si>
    <t>Total Annual Costs Citizens' Share of the Border East Line - Before Interest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</si>
  <si>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</si>
  <si>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</si>
  <si>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</si>
  <si>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</si>
  <si>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</si>
  <si>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</si>
  <si>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Derivation of Other Adjustments Applicable to Appendix X Cycle 7</t>
  </si>
  <si>
    <t>CITIZENS' SHARE OF THE SUNRISE - BORDER-EAST LINE</t>
  </si>
  <si>
    <t>A</t>
  </si>
  <si>
    <t>B</t>
  </si>
  <si>
    <t>C = A - B</t>
  </si>
  <si>
    <t>Difference</t>
  </si>
  <si>
    <t>Increase</t>
  </si>
  <si>
    <t>A. Citizens' Annual Cost @ Proposed Changed Rates</t>
  </si>
  <si>
    <t>(Decrease)</t>
  </si>
  <si>
    <t>Page 3 and Page 4, Line 1</t>
  </si>
  <si>
    <t>√</t>
  </si>
  <si>
    <t>Page 3 and Page 4, Line 3</t>
  </si>
  <si>
    <t>Page 3 and Page 4, Line 5</t>
  </si>
  <si>
    <t>Page 3 and Page 4, Line 9</t>
  </si>
  <si>
    <t>Page 3 and Page 4, Line 13</t>
  </si>
  <si>
    <t>B. Citizens' Monthly Cost @ Proposed Changed Rates</t>
  </si>
  <si>
    <t>Page 3 and Page 4, Line 22</t>
  </si>
  <si>
    <t>Page 3 and Page 4, Line 26</t>
  </si>
  <si>
    <t>Page 3 and Page 4, Line 30</t>
  </si>
  <si>
    <t>Total Citizens' Cycle 8 Monthly Costs</t>
  </si>
  <si>
    <t>12 Month Rate Effective Period (June 2019 to May 2020)</t>
  </si>
  <si>
    <t>Page 3 and Page 4, Line 34</t>
  </si>
  <si>
    <t>Page 3 and Page 4, Line 36</t>
  </si>
  <si>
    <t>Revised - Appendix X Cycle 7</t>
  </si>
  <si>
    <t xml:space="preserve">   Cycle 6 Interest True-Up Adjustment</t>
  </si>
  <si>
    <t>Total Citizens' Cycle 7 Annual Costs</t>
  </si>
  <si>
    <t>Credit for Citizens Cycle 5 and 6 Annual Costs</t>
  </si>
  <si>
    <t>Page 3 and Page 4, Line 24</t>
  </si>
  <si>
    <t>Page 3 and Page 4, Line 40</t>
  </si>
  <si>
    <t>Page 3 and Page 4, Line 42</t>
  </si>
  <si>
    <t>Base Period &amp; True-Up Period 12 - Months Ending December 31, 2017</t>
  </si>
  <si>
    <t>Page 2; Line 6</t>
  </si>
  <si>
    <t>Page 2; Line 10</t>
  </si>
  <si>
    <t>Page 2; Line 17</t>
  </si>
  <si>
    <t>Page 2; Line 22</t>
  </si>
  <si>
    <t>Page 2; Line 25</t>
  </si>
  <si>
    <t>Page 2; Line 38</t>
  </si>
  <si>
    <t>Sum Lines 2 thru 18</t>
  </si>
  <si>
    <t>Line 20 x Franchise Fee Rate</t>
  </si>
  <si>
    <t>Line 20 + Line 22</t>
  </si>
  <si>
    <t>Line 24 Above</t>
  </si>
  <si>
    <t>Line 27 x Line 29</t>
  </si>
  <si>
    <t>Line 4 / Line 1</t>
  </si>
  <si>
    <t>Line 8 / Line 1</t>
  </si>
  <si>
    <t>Line 15 / Line 1</t>
  </si>
  <si>
    <t>Statement AK; Line 41</t>
  </si>
  <si>
    <t>Line 20 / Line 1</t>
  </si>
  <si>
    <t>Page 3; Line 18</t>
  </si>
  <si>
    <t>Sum Lines 29 thru 31</t>
  </si>
  <si>
    <t>Line 36 / Line 1</t>
  </si>
  <si>
    <t>Line 2 + Line 4</t>
  </si>
  <si>
    <t>Line 37 Below</t>
  </si>
  <si>
    <t>Line 6 x Line 8</t>
  </si>
  <si>
    <t>Statement AI; Line 17</t>
  </si>
  <si>
    <t>Line 10 x Line 12</t>
  </si>
  <si>
    <t>Line 14 / Line 16</t>
  </si>
  <si>
    <t>Line 46 Below</t>
  </si>
  <si>
    <t>Line 58 Below</t>
  </si>
  <si>
    <t>Sum Lines 21 thru 35</t>
  </si>
  <si>
    <t>Line 6 Above</t>
  </si>
  <si>
    <t>(Line 40 + Line 42) / Line 44</t>
  </si>
  <si>
    <t>AF-3; Line 3; Col. c</t>
  </si>
  <si>
    <t>Line 50 x Line 52</t>
  </si>
  <si>
    <t>Line 54 / Line 56</t>
  </si>
  <si>
    <t>True-Up Period - January 1, 2017 to December 31, 2017</t>
  </si>
  <si>
    <t>Previous Month Balance, Line 30</t>
  </si>
  <si>
    <t>Cycle 5 = TU-1a; Line 21</t>
  </si>
  <si>
    <t>Cycle 6 = TU-1b; Line 21</t>
  </si>
  <si>
    <t>Negative of TU-1a; Line 17</t>
  </si>
  <si>
    <t>Negative of TU-1a; Line 11</t>
  </si>
  <si>
    <t>Negative of TU-1b; Line 17</t>
  </si>
  <si>
    <t>Negative of TU-1b; Line 13</t>
  </si>
  <si>
    <t>Line 3 + Line 14</t>
  </si>
  <si>
    <t>Line 18 Minus Line 16</t>
  </si>
  <si>
    <t>Line 24 + Line 25</t>
  </si>
  <si>
    <t>Line 26 x Line 27</t>
  </si>
  <si>
    <t>Sum Lines 1, 20, 28</t>
  </si>
  <si>
    <t>Amortization of True-Up Adjustment and Interest True-Up Adjustment: 3</t>
  </si>
  <si>
    <t xml:space="preserve"> i.  Amortization of Cycle 4 True-Up Adjustment</t>
  </si>
  <si>
    <t xml:space="preserve"> ii. Amortization of Cycle 4 Interest True-Up Adjustment</t>
  </si>
  <si>
    <t xml:space="preserve"> v.  Amortization of Cycle 5 True-Up Adjustment</t>
  </si>
  <si>
    <t xml:space="preserve"> vi. Amortization of Cycle 5 Interest True-Up Adjustment</t>
  </si>
  <si>
    <t xml:space="preserve"> vii.  Amortization of Cycle 6 True-Up Adjustment</t>
  </si>
  <si>
    <t xml:space="preserve"> viii. Amortization of Cycle 6 Interest True-Up Adjustment</t>
  </si>
  <si>
    <t xml:space="preserve">   Beginning Balance for Interest Expense 1</t>
  </si>
  <si>
    <t xml:space="preserve"> 12 Months Ending December 31, 2017</t>
  </si>
  <si>
    <t>Sum Lines 1 thru 10</t>
  </si>
  <si>
    <t>Line 12 / 12 months</t>
  </si>
  <si>
    <t>Since the 2017 True-Up Cost of Service is the same as the 2017 Base Period, all True-Up Cost of Service costs come from the Base Period Statement BK2.</t>
  </si>
  <si>
    <t>Jan-17</t>
  </si>
  <si>
    <t>Dec-17</t>
  </si>
  <si>
    <t>AH-1; Line 48</t>
  </si>
  <si>
    <t>AH-2; Line 37; Col. a</t>
  </si>
  <si>
    <t>Negative of AH-2; Line 41; Col. b</t>
  </si>
  <si>
    <t>Negative of AH-2; Line 42; Col. b</t>
  </si>
  <si>
    <t>Negative of AH-2; Line 43; Col. b</t>
  </si>
  <si>
    <t>Negative of AH-2; Line 45; Col. b</t>
  </si>
  <si>
    <t>Negative of AH-2; Line 51; Col. b</t>
  </si>
  <si>
    <t>Negative of AH-2; Line 52; Col. b</t>
  </si>
  <si>
    <t>Negative of AH-2; Line 53; Col. b</t>
  </si>
  <si>
    <t>Negative of AH-2; Line 54; Col. b</t>
  </si>
  <si>
    <t>AH-3; Line 20; Col. a</t>
  </si>
  <si>
    <t>Negative of AH-3; Line 5; Col. c</t>
  </si>
  <si>
    <t>Line 34 + Line 35</t>
  </si>
  <si>
    <t>Used to allocate property insurance in conformance with TO4 Settlement.</t>
  </si>
  <si>
    <t>(e) = (c) + (d)</t>
  </si>
  <si>
    <t xml:space="preserve">   FERC Audit Adjustments</t>
  </si>
  <si>
    <t>Sum Lines 5 thru 16</t>
  </si>
  <si>
    <t xml:space="preserve">   FERC Acct 935 -  Hazardous substances - Hazardous Substance Cleanup Cost Account</t>
  </si>
  <si>
    <t>Sum Lines 20 thru 31</t>
  </si>
  <si>
    <t>Sum Lines 1 thru 14</t>
  </si>
  <si>
    <t>AH-4; Line 3; Col. c</t>
  </si>
  <si>
    <t>Line 16 + Line 18</t>
  </si>
  <si>
    <t xml:space="preserve">FERC Audit </t>
  </si>
  <si>
    <t>Amount represents the Non-Direct A&amp;G expenses billed to Citizens in 2017, which is added back to derive Total Adjusted A&amp;G Expenses.</t>
  </si>
  <si>
    <t>FERC Audit Adjustment - Compliance Finding #3 - Allocation of overhead costs to CWIP.</t>
  </si>
  <si>
    <t>FERC Audit Adjustment - Compliance Finding #8 - Accounting for outside services employed.</t>
  </si>
  <si>
    <t>FERC Audit Adjustment - Compliance Finding #5 - Accounting for regulatory commission expenses.</t>
  </si>
  <si>
    <t>FERC Audit Adjustment - Compliance Finding #7 - Accounting for donations &amp; lobbying expenses.</t>
  </si>
  <si>
    <t>Line 32 + Line 33</t>
  </si>
  <si>
    <t>Line 34 x Line 35</t>
  </si>
  <si>
    <t>Negative of Line 33 x Line 57</t>
  </si>
  <si>
    <t>Line 36 + Line 37</t>
  </si>
  <si>
    <t>Line 41 Above</t>
  </si>
  <si>
    <t>Sum Lines 41 thru 44</t>
  </si>
  <si>
    <t>Sum Lines 47 thru 54</t>
  </si>
  <si>
    <t>Line 45 / Line 55</t>
  </si>
  <si>
    <t>AL-1; Line 18</t>
  </si>
  <si>
    <t>Line 1 x Line 3</t>
  </si>
  <si>
    <t>AL-2; Line 18</t>
  </si>
  <si>
    <t>Line 3 x Line 7</t>
  </si>
  <si>
    <t>Negative of Statement AH; Line 22</t>
  </si>
  <si>
    <t>Sum Lines 12 thru 14</t>
  </si>
  <si>
    <t>Line 15 x Line 17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</si>
  <si>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</si>
  <si>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</si>
  <si>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</si>
  <si>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</si>
  <si>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</si>
  <si>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</si>
  <si>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</si>
  <si>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</si>
  <si>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</si>
  <si>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</si>
  <si>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</si>
  <si>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Col. c = Line 45 Above</t>
  </si>
  <si>
    <t>Sum Lines 50 thru 52</t>
  </si>
  <si>
    <t>Line 51 + Line 52; Col. d</t>
  </si>
  <si>
    <t>AV1; Line 42</t>
  </si>
  <si>
    <t>Negative of Statement AR; Line 11</t>
  </si>
  <si>
    <t>AV-2A; Line 36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</si>
  <si>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</si>
  <si>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</si>
  <si>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</si>
  <si>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</si>
  <si>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</si>
  <si>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</si>
  <si>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</si>
  <si>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AV-4; Page 1; Line 36</t>
  </si>
  <si>
    <t>AV2; Line 10</t>
  </si>
  <si>
    <t>AV2; Line 22</t>
  </si>
  <si>
    <t>AV1; Line 53</t>
  </si>
  <si>
    <t>Page 2; Line 16</t>
  </si>
  <si>
    <t>Page 2; Line 18</t>
  </si>
  <si>
    <t>Page 2; Line 19</t>
  </si>
  <si>
    <t>Sum Lines 2 thru 5</t>
  </si>
  <si>
    <t>Statement AG; Line 1</t>
  </si>
  <si>
    <t>Line 9 + Line 10</t>
  </si>
  <si>
    <t>Statement AF; Line 11</t>
  </si>
  <si>
    <t>Line 14 + Line 15</t>
  </si>
  <si>
    <t>Sum Lines 19 thru 21</t>
  </si>
  <si>
    <t>Sum Lines 6, 11, 16, 22, 24</t>
  </si>
  <si>
    <t>Statement AF; Line 9</t>
  </si>
  <si>
    <t>Line 29 + Line 30</t>
  </si>
  <si>
    <t>Statement AF; Line 13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</si>
  <si>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</si>
  <si>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</si>
  <si>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</si>
  <si>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</si>
  <si>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</si>
  <si>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</si>
  <si>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</si>
  <si>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</si>
  <si>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</si>
  <si>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</si>
  <si>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</si>
  <si>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</si>
  <si>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</si>
  <si>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</si>
  <si>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</si>
  <si>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</si>
  <si>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</si>
  <si>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</si>
  <si>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</si>
  <si>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</si>
  <si>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</si>
  <si>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</si>
  <si>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</si>
  <si>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</si>
  <si>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</si>
  <si>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</si>
  <si>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</si>
  <si>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</si>
  <si>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</si>
  <si>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</si>
  <si>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</si>
  <si>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</si>
  <si>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</si>
  <si>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</si>
  <si>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</si>
  <si>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</si>
  <si>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</si>
  <si>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</si>
  <si>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</si>
  <si>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</si>
  <si>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</si>
  <si>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</si>
  <si>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</si>
  <si>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</si>
  <si>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</si>
  <si>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 Cycle 7</t>
  </si>
  <si>
    <t>Total Citizens Cycle 7 Annual Costs</t>
  </si>
  <si>
    <t>Total Citizens Cycle 7 Monthly Costs</t>
  </si>
  <si>
    <t>12 Month Rate Effective Period (June 2018 to May 2019)</t>
  </si>
  <si>
    <t>AH-2; Line 31; Col. f</t>
  </si>
  <si>
    <t>Cycle 5 Rates</t>
  </si>
  <si>
    <t>Cycle 6 Rates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</si>
  <si>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</si>
  <si>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</si>
  <si>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</si>
  <si>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</si>
  <si>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</si>
  <si>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</si>
  <si>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</si>
  <si>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</si>
  <si>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</si>
  <si>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</si>
  <si>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Items in bold have changed due to various FERC Audit adj. compared to Appendix X Cycle 7 filing per ER18-1690.</t>
  </si>
  <si>
    <t>Page 2; Line 19; Col. C</t>
  </si>
  <si>
    <t>Page 3 and Page 4, Line 17</t>
  </si>
  <si>
    <t>CITIZENS' SHARE OF THE SUNRISE - BORDER EAST-LINE</t>
  </si>
  <si>
    <t xml:space="preserve">   FERC Acct 572 - Maintenance of Underground Lines</t>
  </si>
  <si>
    <t xml:space="preserve">   FERC Acct 562 -  Station Expenses</t>
  </si>
  <si>
    <t xml:space="preserve">   FERC Acct 928 -  CPUC Intervenor Funding Expense - Distribution</t>
  </si>
  <si>
    <t>Pg5 Rev Attachment 2; Section 1; Page 1; Line 17</t>
  </si>
  <si>
    <t>Pg6 Rev Attachment 2; Section 2; Page 1; Line 31</t>
  </si>
  <si>
    <t>Pg8 Rev Attachment 2; Section 3; Page 1; Line 21</t>
  </si>
  <si>
    <t>Pg8 Rev Attachment 2; Section 3; Page 1; Line 28</t>
  </si>
  <si>
    <t>Pg8 Rev Attachment 2; Section 3; Page 1; Line 33</t>
  </si>
  <si>
    <t>Pg8 Rev Attachment 2; Section 3; Page 2; Line 19</t>
  </si>
  <si>
    <t>Other Adjustments due to Appendix X Cycle 7 Cost Adjustments Calculation:</t>
  </si>
  <si>
    <t>Pg5 Rev Attachment 2; Sec. 1; Page 1; Line 17</t>
  </si>
  <si>
    <t>Pg6 Rev Attachment 2; Sec. 2; Page 1; Line 31</t>
  </si>
  <si>
    <t>Pg8 Rev Attachment 2; Sec. 3; Page 2; Line 23</t>
  </si>
  <si>
    <t>Pg10 Rev Attachment 3; Sec. 4a; Page TU; Col. m; Line 30</t>
  </si>
  <si>
    <t>Pg12 Rev Statement AD; Line 11</t>
  </si>
  <si>
    <t>Pg15.2 Rev AH-2; (Line 17 + Line 35); Col. f</t>
  </si>
  <si>
    <t>Pg15 Rev Statement AH; Line 38</t>
  </si>
  <si>
    <t>Pg18 Rev Statement AL; Line 5</t>
  </si>
  <si>
    <t>Pg18 Rev Statement AL; Line 9</t>
  </si>
  <si>
    <t>Pg18 Rev Statement AL; Line 19</t>
  </si>
  <si>
    <t>Pg19 Rev Statement AV; Line 31</t>
  </si>
  <si>
    <t>Pg12 Rev Statement AD; Line 19</t>
  </si>
  <si>
    <t>Pg12 Rev Statement AD; Line 17</t>
  </si>
  <si>
    <t>Pg19 Rev Statement AV; Page 2; Line 27</t>
  </si>
  <si>
    <t>Pg19 Rev Statement AV; Page 2; Line 29</t>
  </si>
  <si>
    <t>Pg16 Statement AJ; Line 1</t>
  </si>
  <si>
    <t>Pg16 Statement AJ; Line 3</t>
  </si>
  <si>
    <t>Pg19 Rev Statement AV; Page 2; Line 31</t>
  </si>
  <si>
    <t>Pg15.2 Rev AH-2; Line 37; Col. d</t>
  </si>
  <si>
    <t>Pg15.4 Rev AH-3; Line 20; Col. d</t>
  </si>
  <si>
    <t>Pg12 Rev Statement AD; Line 25</t>
  </si>
  <si>
    <t>Pg12 Rev Statement AD; Line 29</t>
  </si>
  <si>
    <t>Pg12 Rev Statement AD; Line 31</t>
  </si>
  <si>
    <t>Pg12 Rev Statement AD; Line 1</t>
  </si>
  <si>
    <t>Pg12 Rev Statement AD; Line 7</t>
  </si>
  <si>
    <t>Pg12 Rev Statement AD; Line 9</t>
  </si>
  <si>
    <t>Pg12 Rev Statement AD; Line 35</t>
  </si>
  <si>
    <t>Pg15 Rev Statement AH; Line 17</t>
  </si>
  <si>
    <t>Pg21 Rev AV-4; Page 1; Line 26</t>
  </si>
  <si>
    <t>Pg14 Rev Statement AF; Line 7</t>
  </si>
  <si>
    <t>Pg12 Statement AD; Line 11</t>
  </si>
  <si>
    <t>Pg12 Statement AD; Line 27</t>
  </si>
  <si>
    <t>Pg12 Statement AD; Line 29</t>
  </si>
  <si>
    <t>Pg12 Statement AD; Line 31</t>
  </si>
  <si>
    <t>Pg13 Statement AE; Line 1</t>
  </si>
  <si>
    <t>Pg13 Statement AE; Line 11</t>
  </si>
  <si>
    <t>Pg13 Statement AE; Line 13</t>
  </si>
  <si>
    <t>Pg13 Statement AE; Line 15</t>
  </si>
  <si>
    <t xml:space="preserve">Section C.6a of the Protocols provides a mechanism for SDG&amp;E to correct errors that affected the Appendix X costs in a previous Informational Filing. In this </t>
  </si>
  <si>
    <t>Page 3 and Page 4, Line 38</t>
  </si>
  <si>
    <t>Page 3 and Page 4, Line 15</t>
  </si>
  <si>
    <t>Page 3 and Page 4, Line 19</t>
  </si>
  <si>
    <t>Adj</t>
  </si>
  <si>
    <t>Adj A&amp;G with</t>
  </si>
  <si>
    <t>FERC Audit Adj</t>
  </si>
  <si>
    <t>Pg11 Rev Sec. 4b-TU COS; Line 14</t>
  </si>
  <si>
    <t>Source: As Filed Appendix X Cycle 7; Rev Stmt AH in FERC Audit Adj; ER24-176</t>
  </si>
  <si>
    <t>Source: As Filed Appendix X Cycle 7; Rev Stmt AH-3 in FERC Audit Adj; ER24-176</t>
  </si>
  <si>
    <t>Source: As Filed Appendix X Cycle 7; Rev AV-4 in FERC Audit Adj; ER24-176</t>
  </si>
  <si>
    <r>
      <t xml:space="preserve">(f) </t>
    </r>
    <r>
      <rPr>
        <b/>
        <vertAlign val="superscript"/>
        <sz val="12"/>
        <rFont val="Times New Roman"/>
        <family val="1"/>
      </rPr>
      <t>6</t>
    </r>
  </si>
  <si>
    <t>(g) = (e) - (f)</t>
  </si>
  <si>
    <t xml:space="preserve">Add / (Deduct) </t>
  </si>
  <si>
    <t>Revised</t>
  </si>
  <si>
    <t>A&amp;G Cost Adj</t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</si>
  <si>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6</t>
    </r>
  </si>
  <si>
    <t>This is to correct the overallocation of duplicate charges credit for company energy use in FERC Account no. 929.</t>
  </si>
  <si>
    <t xml:space="preserve">   Other Cost Adjustments</t>
  </si>
  <si>
    <t>Sum Lines 20 thru 32</t>
  </si>
  <si>
    <t>Line 33 + Line 34</t>
  </si>
  <si>
    <t>Line 35 x Line 36</t>
  </si>
  <si>
    <t>Negative of Line 34 x Line 58</t>
  </si>
  <si>
    <t>Line 37 + Line 38</t>
  </si>
  <si>
    <t>Sum Lines 42 thru 45</t>
  </si>
  <si>
    <t>Line 42 Above</t>
  </si>
  <si>
    <t>Sum Lines 48 thru 55</t>
  </si>
  <si>
    <t>Line 46 / Line 56</t>
  </si>
  <si>
    <t xml:space="preserve">   FERC Audit Adjustments (incl. in Appendix X Cycle 7; ER24-176)</t>
  </si>
  <si>
    <t>Pg5 Rev Attachment 2; Sec. 2; Page 1; Line 31</t>
  </si>
  <si>
    <t>Source: As Filed Appendix X Cycle 7; Rev Summary of Cost Components in FERC Audit Adj; ER24-176</t>
  </si>
  <si>
    <t>Pg7 Rev Attachment 3; Sec. 4a; Page TU; Col. m; Line 30</t>
  </si>
  <si>
    <t>Estimated FERC Interest rates</t>
  </si>
  <si>
    <r>
      <t xml:space="preserve">Appendix X Cycle 13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</si>
  <si>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13 Annual Informational Filing </t>
  </si>
  <si>
    <t>Pg9 Rev Statement AH; Line 39</t>
  </si>
  <si>
    <t>Pg10 Rev Statement AL; Line 19</t>
  </si>
  <si>
    <t>Pg10 Rev Statement AL; Line 5</t>
  </si>
  <si>
    <t>Pg10 Rev Statement AL; Line 9</t>
  </si>
  <si>
    <t>Pg12 Rev Statement AV; Line 31</t>
  </si>
  <si>
    <t>Pg12 Rev Statement AV; Page 2; Line 31</t>
  </si>
  <si>
    <t>Source: As Filed Appendix X Cycle 7; Rev Stmt AV in FERC Audit Adj; ER24-176</t>
  </si>
  <si>
    <t>Pg8 Rev Sec. 4b-TU COS; Line 14</t>
  </si>
  <si>
    <t>Page 15; Line 104; Col. 5</t>
  </si>
  <si>
    <t>Negative of AH-3; Line 34; Col. b</t>
  </si>
  <si>
    <t>Negative of AH-3; Line 38; Col. b</t>
  </si>
  <si>
    <t>Negative of AH-3; Sum Lines 27, 36; Col. b</t>
  </si>
  <si>
    <t>Pg9 Rev Statement AH; Line 17</t>
  </si>
  <si>
    <t>As Filed - Appendix X Cycle 7 ER18-1690 and ER24-176</t>
  </si>
  <si>
    <t>Appendix X Cycle 13 Annual Informational Filing</t>
  </si>
  <si>
    <t>Source: As Filed Appendix X Cycle 7; Rev Stmt AL in FERC Audit Adj; ER24-176</t>
  </si>
  <si>
    <t>Source: As Filed Appendix X Cycle 7; Rev Sec 2-Non-Direct Exp in FERC Audit Adj; ER24-176</t>
  </si>
  <si>
    <t>Source: As Filed Appendix X Cycle 7; Rev Sec 4aTU in FERC Audit Adj; ER24-176</t>
  </si>
  <si>
    <t>Negative of AH-3; Sum Lines 24, 26 ,28, 35, 37; Col. a or b</t>
  </si>
  <si>
    <t>Source: As Filed Appendix X Cycle 7; Rev Sec 4b-TU COS in FERC Audit Adj; ER24-176</t>
  </si>
  <si>
    <t>Rev AH-3; Line 20; Col. d</t>
  </si>
  <si>
    <t>Pg9.2 Negative of Rev AH-3; Line 20; Col. f</t>
  </si>
  <si>
    <t>Pg13 Rev AV-4; Page 1; Line 26</t>
  </si>
  <si>
    <t>Pg5 Rev Attachment 2; Section 2; Page 1; Line 31</t>
  </si>
  <si>
    <t>Appendix X Cycle 13 Informational Filing, SDG&amp;E is correcting Appendix X Cycle 7 for approximately $2K for the over-allocation of "Duplicate Charges</t>
  </si>
  <si>
    <t>(Company Energy Use)" Credit accounted for in FERC account 929. This error understated the Citizens Share of the Sunrise - Border East Line in the previous</t>
  </si>
  <si>
    <t>Appendix X Cycle 7 filing causing its correction in the Appendix X Cycle 13 Annual Informational Filing.</t>
  </si>
  <si>
    <t>Items in BOLD have changed to correct the over-allocation of "Duplicate Charges (Company Energy Use)" Credit in FERC Account no. 929.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</si>
</sst>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  <numFmt numFmtId="205" formatCode="_(* #,##0.000000_);_(* \(#,##0.000000\);_(* &quot;-&quot;??_);_(@_)"/>
    <numFmt numFmtId="206" formatCode="_(&quot;$&quot;* #,##0.00000000_);_(&quot;$&quot;* \(#,##0.00000000\);_(&quot;$&quot;* &quot;-&quot;??_);_(@_)"/>
  </numFmts>
  <fonts count="17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sz val="12"/>
      <color indexed="8"/>
      <name val="Times New Roman"/>
      <family val="1"/>
    </font>
    <font>
      <b/>
      <u val="singleAccounting"/>
      <sz val="12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vertAlign val="superscript"/>
      <sz val="11"/>
      <name val="Times New Roman"/>
      <family val="1"/>
    </font>
    <font>
      <u val="singleAccounting"/>
      <sz val="12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856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43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19" applyNumberFormat="0" applyProtection="0">
      <alignment vertical="center"/>
    </xf>
    <xf numFmtId="4" fontId="38" fillId="56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20" fillId="59" borderId="19" applyNumberFormat="0" applyProtection="0">
      <alignment vertical="center"/>
    </xf>
    <xf numFmtId="4" fontId="38" fillId="6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0" fillId="62" borderId="19" applyNumberFormat="0" applyProtection="0">
      <alignment vertical="center"/>
    </xf>
    <xf numFmtId="4" fontId="38" fillId="63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1" fillId="56" borderId="19" applyNumberFormat="0" applyProtection="0">
      <alignment vertical="center"/>
    </xf>
    <xf numFmtId="4" fontId="36" fillId="65" borderId="20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42" fillId="67" borderId="19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24" fillId="70" borderId="21" applyNumberFormat="0">
      <protection locked="0"/>
    </xf>
    <xf numFmtId="0" fontId="14" fillId="71" borderId="22" applyBorder="0"/>
    <xf numFmtId="4" fontId="38" fillId="69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5" fillId="67" borderId="19" applyNumberFormat="0" applyProtection="0">
      <alignment vertical="center"/>
    </xf>
    <xf numFmtId="4" fontId="46" fillId="67" borderId="19" applyNumberFormat="0" applyProtection="0">
      <alignment vertical="center"/>
    </xf>
    <xf numFmtId="4" fontId="47" fillId="72" borderId="19" applyNumberFormat="0" applyProtection="0">
      <alignment horizontal="left" vertical="center" indent="1"/>
    </xf>
    <xf numFmtId="4" fontId="48" fillId="68" borderId="23" applyNumberFormat="0" applyProtection="0">
      <alignment horizontal="left" vertical="center" indent="1"/>
    </xf>
    <xf numFmtId="0" fontId="24" fillId="73" borderId="24"/>
    <xf numFmtId="4" fontId="49" fillId="69" borderId="18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5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2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6" applyNumberFormat="0" applyAlignment="0" applyProtection="0"/>
    <xf numFmtId="0" fontId="60" fillId="79" borderId="26" applyNumberFormat="0" applyAlignment="0" applyProtection="0"/>
    <xf numFmtId="0" fontId="61" fillId="9" borderId="12" applyNumberFormat="0" applyAlignment="0" applyProtection="0"/>
    <xf numFmtId="0" fontId="62" fillId="77" borderId="27" applyNumberFormat="0" applyAlignment="0" applyProtection="0"/>
    <xf numFmtId="0" fontId="62" fillId="77" borderId="27" applyNumberFormat="0" applyAlignment="0" applyProtection="0"/>
    <xf numFmtId="0" fontId="63" fillId="10" borderId="15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8" fillId="0" borderId="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0" fillId="0" borderId="10" applyNumberFormat="0" applyFill="0" applyAlignment="0" applyProtection="0"/>
    <xf numFmtId="0" fontId="71" fillId="0" borderId="30" applyNumberFormat="0" applyFill="0" applyAlignment="0" applyProtection="0"/>
    <xf numFmtId="0" fontId="71" fillId="0" borderId="30" applyNumberFormat="0" applyFill="0" applyAlignment="0" applyProtection="0"/>
    <xf numFmtId="0" fontId="72" fillId="0" borderId="11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6" applyNumberFormat="0" applyAlignment="0" applyProtection="0"/>
    <xf numFmtId="0" fontId="73" fillId="49" borderId="26" applyNumberFormat="0" applyAlignment="0" applyProtection="0"/>
    <xf numFmtId="0" fontId="74" fillId="8" borderId="12" applyNumberFormat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14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4" fillId="80" borderId="0"/>
    <xf numFmtId="0" fontId="79" fillId="0" borderId="0"/>
    <xf numFmtId="0" fontId="24" fillId="80" borderId="0"/>
    <xf numFmtId="0" fontId="24" fillId="80" borderId="0"/>
    <xf numFmtId="0" fontId="3" fillId="0" borderId="0"/>
    <xf numFmtId="0" fontId="55" fillId="0" borderId="0"/>
    <xf numFmtId="0" fontId="79" fillId="0" borderId="0"/>
    <xf numFmtId="0" fontId="3" fillId="0" borderId="0"/>
    <xf numFmtId="0" fontId="3" fillId="0" borderId="0"/>
    <xf numFmtId="0" fontId="24" fillId="80" borderId="0"/>
    <xf numFmtId="0" fontId="24" fillId="80" borderId="0"/>
    <xf numFmtId="0" fontId="3" fillId="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24" fillId="80" borderId="0"/>
    <xf numFmtId="0" fontId="3" fillId="0" borderId="0"/>
    <xf numFmtId="0" fontId="3" fillId="0" borderId="0"/>
    <xf numFmtId="0" fontId="24" fillId="80" borderId="0"/>
    <xf numFmtId="0" fontId="24" fillId="80" borderId="0"/>
    <xf numFmtId="0" fontId="24" fillId="80" borderId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80" fillId="11" borderId="16" applyNumberFormat="0" applyFont="0" applyAlignment="0" applyProtection="0"/>
    <xf numFmtId="0" fontId="81" fillId="79" borderId="32" applyNumberFormat="0" applyAlignment="0" applyProtection="0"/>
    <xf numFmtId="0" fontId="81" fillId="79" borderId="32" applyNumberFormat="0" applyAlignment="0" applyProtection="0"/>
    <xf numFmtId="0" fontId="82" fillId="9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7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18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3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9" fillId="82" borderId="18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3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5" fillId="54" borderId="32" applyNumberFormat="0" applyProtection="0">
      <alignment vertical="center"/>
    </xf>
    <xf numFmtId="4" fontId="86" fillId="54" borderId="26" applyNumberFormat="0" applyProtection="0">
      <alignment vertical="center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9" fillId="99" borderId="32" applyNumberFormat="0" applyProtection="0">
      <alignment horizontal="left" vertical="center" indent="1"/>
    </xf>
    <xf numFmtId="4" fontId="39" fillId="98" borderId="20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65" borderId="20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9" fillId="98" borderId="2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0" fontId="24" fillId="70" borderId="21" applyNumberFormat="0">
      <protection locked="0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86" fillId="72" borderId="24" applyNumberFormat="0" applyProtection="0">
      <alignment vertical="center"/>
    </xf>
    <xf numFmtId="4" fontId="44" fillId="69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88" fillId="10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9" fillId="0" borderId="0"/>
    <xf numFmtId="4" fontId="90" fillId="109" borderId="33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3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0" fontId="24" fillId="73" borderId="24"/>
    <xf numFmtId="4" fontId="91" fillId="100" borderId="32" applyNumberFormat="0" applyProtection="0">
      <alignment horizontal="right" vertical="center"/>
    </xf>
    <xf numFmtId="4" fontId="92" fillId="70" borderId="26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5"/>
    <xf numFmtId="49" fontId="95" fillId="110" borderId="0"/>
    <xf numFmtId="0" fontId="93" fillId="67" borderId="35">
      <protection locked="0"/>
    </xf>
    <xf numFmtId="0" fontId="93" fillId="110" borderId="0"/>
    <xf numFmtId="0" fontId="96" fillId="61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97" fillId="0" borderId="17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1" fontId="34" fillId="0" borderId="0"/>
    <xf numFmtId="171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2" applyNumberFormat="0" applyAlignment="0" applyProtection="0"/>
    <xf numFmtId="0" fontId="61" fillId="9" borderId="12" applyNumberFormat="0" applyAlignment="0" applyProtection="0"/>
    <xf numFmtId="0" fontId="101" fillId="10" borderId="15" applyNumberFormat="0" applyAlignment="0" applyProtection="0"/>
    <xf numFmtId="0" fontId="63" fillId="10" borderId="15" applyNumberFormat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9" applyNumberFormat="0" applyFill="0" applyAlignment="0" applyProtection="0"/>
    <xf numFmtId="0" fontId="68" fillId="0" borderId="9" applyNumberFormat="0" applyFill="0" applyAlignment="0" applyProtection="0"/>
    <xf numFmtId="0" fontId="104" fillId="0" borderId="10" applyNumberFormat="0" applyFill="0" applyAlignment="0" applyProtection="0"/>
    <xf numFmtId="0" fontId="70" fillId="0" borderId="10" applyNumberFormat="0" applyFill="0" applyAlignment="0" applyProtection="0"/>
    <xf numFmtId="0" fontId="105" fillId="0" borderId="11" applyNumberFormat="0" applyFill="0" applyAlignment="0" applyProtection="0"/>
    <xf numFmtId="0" fontId="72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2" applyNumberFormat="0" applyAlignment="0" applyProtection="0"/>
    <xf numFmtId="0" fontId="74" fillId="8" borderId="12" applyNumberFormat="0" applyAlignment="0" applyProtection="0"/>
    <xf numFmtId="0" fontId="107" fillId="0" borderId="14" applyNumberFormat="0" applyFill="0" applyAlignment="0" applyProtection="0"/>
    <xf numFmtId="0" fontId="76" fillId="0" borderId="14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4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4" fillId="80" borderId="0"/>
    <xf numFmtId="0" fontId="24" fillId="80" borderId="0"/>
    <xf numFmtId="0" fontId="10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4" fillId="48" borderId="2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80" fillId="11" borderId="16" applyNumberFormat="0" applyFont="0" applyAlignment="0" applyProtection="0"/>
    <xf numFmtId="0" fontId="110" fillId="9" borderId="13" applyNumberFormat="0" applyAlignment="0" applyProtection="0"/>
    <xf numFmtId="0" fontId="82" fillId="9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4" fillId="70" borderId="21" applyNumberFormat="0">
      <protection locked="0"/>
    </xf>
    <xf numFmtId="0" fontId="24" fillId="70" borderId="21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70" borderId="21" applyNumberFormat="0">
      <protection locked="0"/>
    </xf>
    <xf numFmtId="4" fontId="88" fillId="108" borderId="18" applyNumberFormat="0" applyProtection="0">
      <alignment vertical="center"/>
    </xf>
    <xf numFmtId="4" fontId="86" fillId="72" borderId="24" applyNumberFormat="0" applyProtection="0">
      <alignment vertical="center"/>
    </xf>
    <xf numFmtId="4" fontId="88" fillId="104" borderId="18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4" fillId="73" borderId="24"/>
    <xf numFmtId="4" fontId="92" fillId="70" borderId="26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7" applyNumberFormat="0" applyFill="0" applyAlignment="0" applyProtection="0"/>
    <xf numFmtId="0" fontId="97" fillId="0" borderId="17" applyNumberFormat="0" applyFill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54" borderId="18" applyNumberFormat="0" applyProtection="0">
      <alignment horizontal="left" vertical="top" indent="1"/>
    </xf>
    <xf numFmtId="0" fontId="62" fillId="77" borderId="38" applyNumberFormat="0" applyAlignment="0" applyProtection="0"/>
    <xf numFmtId="0" fontId="62" fillId="77" borderId="38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7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6" fillId="54" borderId="18" applyNumberFormat="0" applyProtection="0">
      <alignment vertical="center"/>
    </xf>
    <xf numFmtId="44" fontId="3" fillId="0" borderId="0" applyFont="0" applyFill="0" applyBorder="0" applyAlignment="0" applyProtection="0"/>
    <xf numFmtId="4" fontId="91" fillId="101" borderId="18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8" applyNumberFormat="0" applyProtection="0">
      <alignment horizontal="left" vertical="top" indent="1"/>
    </xf>
    <xf numFmtId="0" fontId="55" fillId="11" borderId="16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8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8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8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5" fillId="72" borderId="18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2" fillId="77" borderId="5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2" fillId="77" borderId="5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54" fillId="125" borderId="74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6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6" fontId="3" fillId="0" borderId="0">
      <protection locked="0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3" borderId="54"/>
    <xf numFmtId="0" fontId="3" fillId="69" borderId="76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171" fontId="12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24" fillId="117" borderId="0" applyNumberFormat="0" applyBorder="0" applyAlignment="0" applyProtection="0"/>
    <xf numFmtId="0" fontId="124" fillId="117" borderId="0" applyNumberFormat="0" applyBorder="0" applyAlignment="0" applyProtection="0"/>
    <xf numFmtId="0" fontId="124" fillId="87" borderId="0" applyNumberFormat="0" applyBorder="0" applyAlignment="0" applyProtection="0"/>
    <xf numFmtId="0" fontId="124" fillId="87" borderId="0" applyNumberFormat="0" applyBorder="0" applyAlignment="0" applyProtection="0"/>
    <xf numFmtId="0" fontId="124" fillId="96" borderId="0" applyNumberFormat="0" applyBorder="0" applyAlignment="0" applyProtection="0"/>
    <xf numFmtId="0" fontId="124" fillId="96" borderId="0" applyNumberFormat="0" applyBorder="0" applyAlignment="0" applyProtection="0"/>
    <xf numFmtId="0" fontId="124" fillId="118" borderId="0" applyNumberFormat="0" applyBorder="0" applyAlignment="0" applyProtection="0"/>
    <xf numFmtId="0" fontId="124" fillId="118" borderId="0" applyNumberFormat="0" applyBorder="0" applyAlignment="0" applyProtection="0"/>
    <xf numFmtId="0" fontId="124" fillId="83" borderId="0" applyNumberFormat="0" applyBorder="0" applyAlignment="0" applyProtection="0"/>
    <xf numFmtId="0" fontId="124" fillId="83" borderId="0" applyNumberFormat="0" applyBorder="0" applyAlignment="0" applyProtection="0"/>
    <xf numFmtId="0" fontId="124" fillId="90" borderId="0" applyNumberFormat="0" applyBorder="0" applyAlignment="0" applyProtection="0"/>
    <xf numFmtId="0" fontId="124" fillId="90" borderId="0" applyNumberFormat="0" applyBorder="0" applyAlignment="0" applyProtection="0"/>
    <xf numFmtId="0" fontId="124" fillId="119" borderId="0" applyNumberFormat="0" applyBorder="0" applyAlignment="0" applyProtection="0"/>
    <xf numFmtId="0" fontId="124" fillId="119" borderId="0" applyNumberFormat="0" applyBorder="0" applyAlignment="0" applyProtection="0"/>
    <xf numFmtId="0" fontId="124" fillId="88" borderId="0" applyNumberFormat="0" applyBorder="0" applyAlignment="0" applyProtection="0"/>
    <xf numFmtId="0" fontId="124" fillId="88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118" borderId="0" applyNumberFormat="0" applyBorder="0" applyAlignment="0" applyProtection="0"/>
    <xf numFmtId="0" fontId="124" fillId="118" borderId="0" applyNumberFormat="0" applyBorder="0" applyAlignment="0" applyProtection="0"/>
    <xf numFmtId="0" fontId="124" fillId="83" borderId="0" applyNumberFormat="0" applyBorder="0" applyAlignment="0" applyProtection="0"/>
    <xf numFmtId="0" fontId="124" fillId="83" borderId="0" applyNumberFormat="0" applyBorder="0" applyAlignment="0" applyProtection="0"/>
    <xf numFmtId="0" fontId="124" fillId="92" borderId="0" applyNumberFormat="0" applyBorder="0" applyAlignment="0" applyProtection="0"/>
    <xf numFmtId="0" fontId="124" fillId="92" borderId="0" applyNumberFormat="0" applyBorder="0" applyAlignment="0" applyProtection="0"/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179" fontId="3" fillId="66" borderId="58">
      <alignment horizontal="center" vertical="center"/>
    </xf>
    <xf numFmtId="0" fontId="125" fillId="85" borderId="0" applyNumberFormat="0" applyBorder="0" applyAlignment="0" applyProtection="0"/>
    <xf numFmtId="0" fontId="125" fillId="85" borderId="0" applyNumberFormat="0" applyBorder="0" applyAlignment="0" applyProtection="0"/>
    <xf numFmtId="3" fontId="126" fillId="0" borderId="0" applyFill="0" applyBorder="0" applyProtection="0">
      <alignment horizontal="right"/>
    </xf>
    <xf numFmtId="180" fontId="127" fillId="0" borderId="0" applyNumberFormat="0" applyFill="0" applyBorder="0" applyAlignment="0" applyProtection="0">
      <alignment horizontal="center"/>
      <protection locked="0"/>
    </xf>
    <xf numFmtId="0" fontId="128" fillId="0" borderId="42" applyFill="0" applyProtection="0">
      <alignment horizontal="right"/>
    </xf>
    <xf numFmtId="0" fontId="129" fillId="104" borderId="59" applyNumberFormat="0" applyAlignment="0" applyProtection="0"/>
    <xf numFmtId="0" fontId="129" fillId="104" borderId="59" applyNumberFormat="0" applyAlignment="0" applyProtection="0"/>
    <xf numFmtId="8" fontId="3" fillId="0" borderId="41" applyFont="0" applyFill="0" applyBorder="0" applyProtection="0">
      <alignment horizontal="right"/>
    </xf>
    <xf numFmtId="0" fontId="130" fillId="120" borderId="52" applyNumberFormat="0" applyAlignment="0" applyProtection="0"/>
    <xf numFmtId="0" fontId="130" fillId="120" borderId="52" applyNumberFormat="0" applyAlignment="0" applyProtection="0"/>
    <xf numFmtId="0" fontId="14" fillId="0" borderId="45">
      <alignment horizontal="center"/>
    </xf>
    <xf numFmtId="181" fontId="131" fillId="0" borderId="0" applyFont="0" applyFill="0" applyBorder="0" applyAlignment="0" applyProtection="0">
      <alignment horizontal="right"/>
    </xf>
    <xf numFmtId="0" fontId="43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182" fontId="131" fillId="0" borderId="0" applyFont="0" applyFill="0" applyBorder="0" applyAlignment="0" applyProtection="0">
      <alignment horizontal="right"/>
    </xf>
    <xf numFmtId="4" fontId="91" fillId="101" borderId="76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184" fontId="131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31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31" fillId="0" borderId="60" applyNumberFormat="0" applyFont="0" applyFill="0" applyAlignment="0" applyProtection="0"/>
    <xf numFmtId="190" fontId="3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39" fontId="83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Fill="0" applyBorder="0" applyProtection="0">
      <alignment horizontal="left"/>
    </xf>
    <xf numFmtId="37" fontId="24" fillId="0" borderId="0"/>
    <xf numFmtId="0" fontId="136" fillId="113" borderId="0" applyNumberFormat="0" applyBorder="0" applyAlignment="0" applyProtection="0"/>
    <xf numFmtId="0" fontId="136" fillId="113" borderId="0" applyNumberFormat="0" applyBorder="0" applyAlignment="0" applyProtection="0"/>
    <xf numFmtId="38" fontId="24" fillId="4" borderId="0" applyNumberFormat="0" applyBorder="0" applyAlignment="0" applyProtection="0"/>
    <xf numFmtId="192" fontId="131" fillId="0" borderId="0" applyFont="0" applyFill="0" applyBorder="0" applyAlignment="0" applyProtection="0">
      <alignment horizontal="right"/>
    </xf>
    <xf numFmtId="0" fontId="137" fillId="0" borderId="0" applyNumberFormat="0" applyFill="0" applyBorder="0" applyAlignment="0" applyProtection="0"/>
    <xf numFmtId="0" fontId="21" fillId="0" borderId="0" applyFill="0" applyBorder="0" applyProtection="0">
      <alignment horizontal="right"/>
    </xf>
    <xf numFmtId="0" fontId="138" fillId="0" borderId="61" applyNumberFormat="0" applyFill="0" applyAlignment="0" applyProtection="0"/>
    <xf numFmtId="0" fontId="138" fillId="0" borderId="61" applyNumberFormat="0" applyFill="0" applyAlignment="0" applyProtection="0"/>
    <xf numFmtId="0" fontId="139" fillId="0" borderId="62" applyNumberFormat="0" applyFill="0" applyAlignment="0" applyProtection="0"/>
    <xf numFmtId="0" fontId="139" fillId="0" borderId="62" applyNumberFormat="0" applyFill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2" fillId="0" borderId="64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93" fontId="142" fillId="0" borderId="0"/>
    <xf numFmtId="10" fontId="24" fillId="72" borderId="54" applyNumberFormat="0" applyBorder="0" applyAlignment="0" applyProtection="0"/>
    <xf numFmtId="0" fontId="143" fillId="116" borderId="59" applyNumberFormat="0" applyAlignment="0" applyProtection="0"/>
    <xf numFmtId="0" fontId="143" fillId="116" borderId="59" applyNumberFormat="0" applyAlignment="0" applyProtection="0"/>
    <xf numFmtId="10" fontId="24" fillId="72" borderId="0">
      <protection locked="0"/>
    </xf>
    <xf numFmtId="0" fontId="144" fillId="0" borderId="65">
      <alignment horizontal="right"/>
    </xf>
    <xf numFmtId="0" fontId="144" fillId="0" borderId="65">
      <alignment horizontal="left"/>
    </xf>
    <xf numFmtId="0" fontId="145" fillId="0" borderId="66" applyNumberFormat="0" applyFill="0" applyAlignment="0" applyProtection="0"/>
    <xf numFmtId="0" fontId="145" fillId="0" borderId="66" applyNumberFormat="0" applyFill="0" applyAlignment="0" applyProtection="0"/>
    <xf numFmtId="180" fontId="24" fillId="0" borderId="0" applyNumberFormat="0" applyFont="0" applyFill="0" applyBorder="0" applyAlignment="0">
      <protection hidden="1"/>
    </xf>
    <xf numFmtId="194" fontId="132" fillId="0" borderId="44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31" fillId="0" borderId="0" applyFont="0" applyFill="0" applyBorder="0" applyAlignment="0" applyProtection="0">
      <alignment horizontal="right"/>
    </xf>
    <xf numFmtId="0" fontId="146" fillId="82" borderId="0" applyNumberFormat="0" applyBorder="0" applyAlignment="0" applyProtection="0"/>
    <xf numFmtId="0" fontId="146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47" fillId="0" borderId="0"/>
    <xf numFmtId="0" fontId="32" fillId="0" borderId="0"/>
    <xf numFmtId="0" fontId="32" fillId="0" borderId="0"/>
    <xf numFmtId="0" fontId="3" fillId="0" borderId="0"/>
    <xf numFmtId="169" fontId="3" fillId="0" borderId="0">
      <alignment horizontal="left" wrapText="1"/>
    </xf>
    <xf numFmtId="169" fontId="24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32" fillId="0" borderId="0"/>
    <xf numFmtId="169" fontId="24" fillId="0" borderId="0">
      <alignment horizontal="left" wrapText="1"/>
    </xf>
    <xf numFmtId="0" fontId="32" fillId="0" borderId="0"/>
    <xf numFmtId="37" fontId="123" fillId="0" borderId="0"/>
    <xf numFmtId="37" fontId="1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32" fillId="11" borderId="16" applyNumberFormat="0" applyFont="0" applyAlignment="0" applyProtection="0"/>
    <xf numFmtId="0" fontId="43" fillId="108" borderId="67" applyNumberFormat="0" applyFont="0" applyAlignment="0" applyProtection="0"/>
    <xf numFmtId="0" fontId="43" fillId="108" borderId="67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1" fontId="149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2" fillId="0" borderId="0" applyFont="0" applyFill="0" applyBorder="0" applyAlignment="0" applyProtection="0"/>
    <xf numFmtId="189" fontId="153" fillId="0" borderId="74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87" fontId="83" fillId="0" borderId="0" applyFont="0" applyFill="0" applyBorder="0" applyProtection="0">
      <alignment horizontal="right"/>
    </xf>
    <xf numFmtId="0" fontId="3" fillId="0" borderId="0">
      <protection locked="0"/>
    </xf>
    <xf numFmtId="0" fontId="25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197" fontId="150" fillId="0" borderId="0"/>
    <xf numFmtId="198" fontId="83" fillId="0" borderId="0" applyFont="0" applyFill="0" applyBorder="0" applyProtection="0">
      <alignment horizontal="right"/>
    </xf>
    <xf numFmtId="199" fontId="83" fillId="0" borderId="0" applyFont="0" applyFill="0" applyBorder="0" applyProtection="0">
      <alignment horizontal="right"/>
    </xf>
    <xf numFmtId="198" fontId="83" fillId="0" borderId="0" applyFont="0" applyFill="0" applyBorder="0" applyProtection="0">
      <alignment horizontal="right"/>
    </xf>
    <xf numFmtId="178" fontId="126" fillId="0" borderId="0" applyFill="0" applyBorder="0" applyProtection="0">
      <alignment horizontal="right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75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3" fillId="121" borderId="68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83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3" fillId="0" borderId="0" applyNumberFormat="0" applyBorder="0" applyAlignment="0"/>
    <xf numFmtId="0" fontId="151" fillId="0" borderId="0" applyNumberFormat="0" applyBorder="0" applyAlignment="0"/>
    <xf numFmtId="0" fontId="152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53" fillId="0" borderId="0" applyBorder="0" applyProtection="0">
      <alignment vertical="center"/>
    </xf>
    <xf numFmtId="189" fontId="153" fillId="0" borderId="53" applyBorder="0" applyProtection="0">
      <alignment horizontal="right" vertical="center"/>
    </xf>
    <xf numFmtId="0" fontId="154" fillId="124" borderId="0" applyBorder="0" applyProtection="0">
      <alignment horizontal="centerContinuous" vertical="center"/>
    </xf>
    <xf numFmtId="0" fontId="154" fillId="125" borderId="53" applyBorder="0" applyProtection="0">
      <alignment horizontal="centerContinuous" vertical="center"/>
    </xf>
    <xf numFmtId="0" fontId="144" fillId="0" borderId="0">
      <alignment horizontal="left"/>
      <protection locked="0"/>
    </xf>
    <xf numFmtId="0" fontId="155" fillId="0" borderId="0" applyFill="0" applyBorder="0" applyProtection="0">
      <alignment horizontal="left"/>
    </xf>
    <xf numFmtId="0" fontId="135" fillId="0" borderId="46" applyFill="0" applyBorder="0" applyProtection="0">
      <alignment horizontal="left" vertical="top"/>
    </xf>
    <xf numFmtId="42" fontId="24" fillId="126" borderId="0" applyNumberFormat="0" applyFont="0" applyBorder="0" applyAlignment="0" applyProtection="0"/>
    <xf numFmtId="0" fontId="24" fillId="0" borderId="0"/>
    <xf numFmtId="0" fontId="156" fillId="0" borderId="0" applyFill="0" applyBorder="0" applyProtection="0">
      <alignment horizontal="left" vertical="top"/>
    </xf>
    <xf numFmtId="0" fontId="157" fillId="0" borderId="0" applyFill="0" applyBorder="0" applyAlignment="0" applyProtection="0"/>
    <xf numFmtId="0" fontId="39" fillId="0" borderId="69" applyNumberFormat="0" applyFill="0" applyAlignment="0" applyProtection="0"/>
    <xf numFmtId="0" fontId="39" fillId="0" borderId="69" applyNumberFormat="0" applyFill="0" applyAlignment="0" applyProtection="0"/>
    <xf numFmtId="3" fontId="132" fillId="0" borderId="4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1" fontId="83" fillId="0" borderId="0">
      <alignment horizontal="left"/>
      <protection locked="0"/>
    </xf>
    <xf numFmtId="180" fontId="158" fillId="0" borderId="0"/>
    <xf numFmtId="38" fontId="24" fillId="54" borderId="0" applyNumberFormat="0" applyBorder="0" applyAlignment="0" applyProtection="0"/>
    <xf numFmtId="37" fontId="24" fillId="4" borderId="0" applyNumberFormat="0" applyBorder="0" applyAlignment="0" applyProtection="0"/>
    <xf numFmtId="37" fontId="24" fillId="0" borderId="0"/>
    <xf numFmtId="37" fontId="24" fillId="54" borderId="0" applyNumberFormat="0" applyBorder="0" applyAlignment="0" applyProtection="0"/>
    <xf numFmtId="3" fontId="159" fillId="0" borderId="64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44" fillId="0" borderId="65">
      <alignment horizontal="right"/>
    </xf>
    <xf numFmtId="37" fontId="24" fillId="0" borderId="0"/>
    <xf numFmtId="202" fontId="24" fillId="0" borderId="0"/>
    <xf numFmtId="37" fontId="24" fillId="0" borderId="0"/>
    <xf numFmtId="4" fontId="91" fillId="101" borderId="76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23" fillId="0" borderId="0"/>
    <xf numFmtId="0" fontId="160" fillId="0" borderId="0"/>
    <xf numFmtId="0" fontId="18" fillId="0" borderId="0"/>
    <xf numFmtId="37" fontId="1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8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6" fontId="3" fillId="0" borderId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44" fillId="0" borderId="37">
      <alignment horizontal="right"/>
    </xf>
    <xf numFmtId="0" fontId="144" fillId="0" borderId="37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4" fillId="0" borderId="37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10" fontId="24" fillId="72" borderId="79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9" fillId="104" borderId="81" applyNumberFormat="0" applyAlignment="0" applyProtection="0"/>
    <xf numFmtId="0" fontId="129" fillId="104" borderId="81" applyNumberFormat="0" applyAlignment="0" applyProtection="0"/>
    <xf numFmtId="0" fontId="128" fillId="0" borderId="80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9" fillId="69" borderId="76" applyNumberFormat="0" applyProtection="0">
      <alignment horizontal="right" vertical="center"/>
    </xf>
    <xf numFmtId="0" fontId="24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" fillId="0" borderId="0"/>
    <xf numFmtId="189" fontId="153" fillId="0" borderId="39" applyBorder="0" applyProtection="0">
      <alignment horizontal="right" vertical="center"/>
    </xf>
    <xf numFmtId="0" fontId="154" fillId="125" borderId="39" applyBorder="0" applyProtection="0">
      <alignment horizontal="centerContinuous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44" fillId="0" borderId="37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4" fillId="0" borderId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6" fillId="54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24" fillId="70" borderId="56" applyNumberFormat="0">
      <protection locked="0"/>
    </xf>
    <xf numFmtId="0" fontId="24" fillId="70" borderId="56" applyNumberFormat="0">
      <protection locked="0"/>
    </xf>
    <xf numFmtId="0" fontId="24" fillId="70" borderId="56" applyNumberFormat="0">
      <protection locked="0"/>
    </xf>
    <xf numFmtId="0" fontId="24" fillId="70" borderId="56" applyNumberFormat="0">
      <protection locked="0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86" fillId="72" borderId="79" applyNumberFormat="0" applyProtection="0">
      <alignment vertical="center"/>
    </xf>
    <xf numFmtId="4" fontId="44" fillId="69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4" fontId="91" fillId="100" borderId="72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2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4" fillId="83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23" fillId="0" borderId="0"/>
    <xf numFmtId="43" fontId="23" fillId="0" borderId="0" applyFont="0" applyFill="0" applyBorder="0" applyAlignment="0" applyProtection="0"/>
    <xf numFmtId="4" fontId="39" fillId="82" borderId="76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3" fillId="88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43" fillId="108" borderId="82" applyNumberFormat="0" applyFont="0" applyAlignment="0" applyProtection="0"/>
    <xf numFmtId="4" fontId="43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2" fillId="0" borderId="0"/>
    <xf numFmtId="0" fontId="2" fillId="0" borderId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86" borderId="2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0" fontId="130" fillId="120" borderId="52" applyNumberFormat="0" applyAlignment="0" applyProtection="0"/>
    <xf numFmtId="0" fontId="88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24" fillId="107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90" fillId="109" borderId="33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2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14" fillId="71" borderId="77" applyBorder="0"/>
    <xf numFmtId="4" fontId="38" fillId="69" borderId="76" applyNumberFormat="0" applyProtection="0">
      <alignment vertical="center"/>
    </xf>
    <xf numFmtId="4" fontId="43" fillId="100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73" borderId="79"/>
    <xf numFmtId="4" fontId="43" fillId="96" borderId="7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9" fillId="99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6" applyNumberFormat="0" applyProtection="0">
      <alignment vertical="center"/>
    </xf>
    <xf numFmtId="4" fontId="85" fillId="54" borderId="7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0" fontId="84" fillId="0" borderId="7">
      <alignment horizontal="center"/>
    </xf>
    <xf numFmtId="0" fontId="3" fillId="4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73" borderId="79"/>
    <xf numFmtId="4" fontId="38" fillId="64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73" fillId="49" borderId="26" applyNumberFormat="0" applyAlignment="0" applyProtection="0"/>
    <xf numFmtId="0" fontId="73" fillId="49" borderId="26" applyNumberFormat="0" applyAlignment="0" applyProtection="0"/>
    <xf numFmtId="4" fontId="24" fillId="85" borderId="2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0" fontId="60" fillId="79" borderId="26" applyNumberFormat="0" applyAlignment="0" applyProtection="0"/>
    <xf numFmtId="0" fontId="60" fillId="79" borderId="26" applyNumberFormat="0" applyAlignment="0" applyProtection="0"/>
    <xf numFmtId="0" fontId="3" fillId="68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0" fontId="24" fillId="48" borderId="26" applyNumberFormat="0" applyFont="0" applyAlignment="0" applyProtection="0"/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6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60" fillId="79" borderId="26" applyNumberFormat="0" applyAlignment="0" applyProtection="0"/>
    <xf numFmtId="4" fontId="39" fillId="82" borderId="76" applyNumberFormat="0" applyProtection="0">
      <alignment vertical="center"/>
    </xf>
    <xf numFmtId="4" fontId="91" fillId="100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1" borderId="7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4" fontId="43" fillId="0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4" fillId="48" borderId="26" applyNumberFormat="0" applyFont="0" applyAlignment="0" applyProtection="0"/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9" fontId="95" fillId="110" borderId="35"/>
    <xf numFmtId="4" fontId="92" fillId="70" borderId="26" applyNumberFormat="0" applyProtection="0">
      <alignment horizontal="right" vertical="center"/>
    </xf>
    <xf numFmtId="0" fontId="24" fillId="73" borderId="79"/>
    <xf numFmtId="0" fontId="24" fillId="73" borderId="79"/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4" fillId="102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135" fillId="0" borderId="46" applyFill="0" applyBorder="0" applyProtection="0">
      <alignment horizontal="left" vertical="top"/>
    </xf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4" fillId="71" borderId="77" applyBorder="0"/>
    <xf numFmtId="0" fontId="3" fillId="0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35" fillId="0" borderId="36" applyNumberFormat="0" applyFill="0" applyAlignment="0" applyProtection="0"/>
    <xf numFmtId="4" fontId="91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24" fillId="73" borderId="79"/>
    <xf numFmtId="0" fontId="24" fillId="70" borderId="56" applyNumberFormat="0">
      <protection locked="0"/>
    </xf>
    <xf numFmtId="4" fontId="24" fillId="0" borderId="2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8" fillId="108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35" fillId="0" borderId="36" applyNumberFormat="0" applyFill="0" applyAlignment="0" applyProtection="0"/>
    <xf numFmtId="4" fontId="24" fillId="89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4" fillId="73" borderId="79"/>
    <xf numFmtId="4" fontId="48" fillId="68" borderId="78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4" fillId="71" borderId="77" applyBorder="0"/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4" fillId="102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73" fillId="49" borderId="26" applyNumberFormat="0" applyAlignment="0" applyProtection="0"/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97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24" fillId="73" borderId="79"/>
    <xf numFmtId="0" fontId="24" fillId="101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0" fontId="60" fillId="79" borderId="26" applyNumberFormat="0" applyAlignment="0" applyProtection="0"/>
    <xf numFmtId="4" fontId="43" fillId="10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88" borderId="33" applyNumberFormat="0" applyProtection="0">
      <alignment horizontal="right" vertical="center"/>
    </xf>
    <xf numFmtId="4" fontId="43" fillId="54" borderId="72" applyNumberFormat="0" applyProtection="0">
      <alignment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" fillId="0" borderId="0"/>
    <xf numFmtId="0" fontId="3" fillId="0" borderId="0"/>
    <xf numFmtId="0" fontId="135" fillId="0" borderId="87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4" fillId="80" borderId="0"/>
    <xf numFmtId="0" fontId="24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71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24" fillId="70" borderId="56" applyNumberFormat="0">
      <protection locked="0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4" fillId="73" borderId="79"/>
    <xf numFmtId="43" fontId="3" fillId="0" borderId="0" applyFont="0" applyFill="0" applyBorder="0" applyAlignment="0" applyProtection="0"/>
    <xf numFmtId="0" fontId="3" fillId="0" borderId="0"/>
    <xf numFmtId="0" fontId="3" fillId="106" borderId="72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2" applyNumberFormat="0" applyAlignment="0" applyProtection="0"/>
    <xf numFmtId="0" fontId="62" fillId="77" borderId="52" applyNumberFormat="0" applyAlignment="0" applyProtection="0"/>
    <xf numFmtId="44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24" fillId="73" borderId="79"/>
    <xf numFmtId="0" fontId="3" fillId="0" borderId="0"/>
    <xf numFmtId="0" fontId="24" fillId="107" borderId="26" applyNumberFormat="0" applyProtection="0">
      <alignment horizontal="left" vertical="center" indent="1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8" fillId="104" borderId="72" applyNumberFormat="0" applyAlignment="0" applyProtection="0"/>
    <xf numFmtId="0" fontId="148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54" fillId="125" borderId="53" applyBorder="0" applyProtection="0">
      <alignment horizontal="centerContinuous" vertical="center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0" borderId="0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80" borderId="0"/>
    <xf numFmtId="0" fontId="144" fillId="0" borderId="65">
      <alignment horizontal="right"/>
    </xf>
    <xf numFmtId="0" fontId="144" fillId="0" borderId="65">
      <alignment horizontal="left"/>
    </xf>
    <xf numFmtId="0" fontId="84" fillId="0" borderId="65">
      <alignment horizontal="center"/>
    </xf>
    <xf numFmtId="9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6" fillId="72" borderId="79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53" fillId="0" borderId="74" applyBorder="0" applyProtection="0">
      <alignment horizontal="right" vertical="center"/>
    </xf>
    <xf numFmtId="0" fontId="154" fillId="125" borderId="74" applyBorder="0" applyProtection="0">
      <alignment horizontal="centerContinuous" vertical="center"/>
    </xf>
    <xf numFmtId="0" fontId="144" fillId="0" borderId="65">
      <alignment horizontal="right"/>
    </xf>
    <xf numFmtId="0" fontId="3" fillId="0" borderId="0"/>
    <xf numFmtId="4" fontId="48" fillId="68" borderId="78" applyNumberFormat="0" applyProtection="0">
      <alignment horizontal="left" vertical="center" indent="1"/>
    </xf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0" fontId="24" fillId="73" borderId="79"/>
    <xf numFmtId="4" fontId="91" fillId="100" borderId="72" applyNumberFormat="0" applyProtection="0">
      <alignment horizontal="right" vertical="center"/>
    </xf>
    <xf numFmtId="4" fontId="92" fillId="70" borderId="2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73" fillId="49" borderId="26" applyNumberFormat="0" applyAlignment="0" applyProtection="0"/>
    <xf numFmtId="4" fontId="24" fillId="83" borderId="26" applyNumberFormat="0" applyProtection="0">
      <alignment horizontal="left" vertical="center" indent="1"/>
    </xf>
    <xf numFmtId="49" fontId="95" fillId="110" borderId="35"/>
    <xf numFmtId="0" fontId="3" fillId="69" borderId="76" applyNumberFormat="0" applyProtection="0">
      <alignment horizontal="left" vertical="center" indent="1"/>
    </xf>
    <xf numFmtId="0" fontId="93" fillId="67" borderId="35">
      <protection locked="0"/>
    </xf>
    <xf numFmtId="0" fontId="24" fillId="102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4" fontId="38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0" fontId="73" fillId="49" borderId="26" applyNumberFormat="0" applyAlignment="0" applyProtection="0"/>
    <xf numFmtId="4" fontId="24" fillId="86" borderId="26" applyNumberFormat="0" applyProtection="0">
      <alignment horizontal="right" vertical="center"/>
    </xf>
    <xf numFmtId="0" fontId="24" fillId="101" borderId="76" applyNumberFormat="0" applyProtection="0">
      <alignment horizontal="left" vertical="top" indent="1"/>
    </xf>
    <xf numFmtId="0" fontId="93" fillId="67" borderId="35">
      <protection locked="0"/>
    </xf>
    <xf numFmtId="0" fontId="60" fillId="79" borderId="26" applyNumberFormat="0" applyAlignment="0" applyProtection="0"/>
    <xf numFmtId="0" fontId="24" fillId="48" borderId="26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73" borderId="79"/>
    <xf numFmtId="0" fontId="24" fillId="73" borderId="79"/>
    <xf numFmtId="4" fontId="48" fillId="68" borderId="78" applyNumberFormat="0" applyProtection="0">
      <alignment horizontal="left" vertical="center" indent="1"/>
    </xf>
    <xf numFmtId="4" fontId="86" fillId="67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72" borderId="72" applyNumberFormat="0" applyProtection="0">
      <alignment vertical="center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5" borderId="2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24" fillId="101" borderId="76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0" fontId="24" fillId="102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1" borderId="7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24" fillId="86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71" borderId="76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4" fillId="73" borderId="79"/>
    <xf numFmtId="4" fontId="24" fillId="92" borderId="2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9" fontId="95" fillId="110" borderId="35"/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154" fillId="125" borderId="74" applyBorder="0" applyProtection="0">
      <alignment horizontal="centerContinuous" vertical="center"/>
    </xf>
    <xf numFmtId="0" fontId="24" fillId="101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130" fillId="120" borderId="52" applyNumberFormat="0" applyAlignment="0" applyProtection="0"/>
    <xf numFmtId="4" fontId="43" fillId="72" borderId="7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88" fillId="108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5">
      <protection locked="0"/>
    </xf>
    <xf numFmtId="0" fontId="24" fillId="73" borderId="79"/>
    <xf numFmtId="0" fontId="3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84" borderId="72" applyNumberFormat="0" applyProtection="0">
      <alignment horizontal="left" vertical="center" indent="1"/>
    </xf>
    <xf numFmtId="0" fontId="35" fillId="0" borderId="36" applyNumberFormat="0" applyFill="0" applyAlignment="0" applyProtection="0"/>
    <xf numFmtId="4" fontId="38" fillId="5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90" borderId="2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6" applyNumberFormat="0" applyAlignment="0" applyProtection="0"/>
    <xf numFmtId="0" fontId="73" fillId="49" borderId="26" applyNumberFormat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4" fontId="37" fillId="54" borderId="76" applyNumberFormat="0" applyProtection="0">
      <alignment vertical="center"/>
    </xf>
    <xf numFmtId="0" fontId="60" fillId="79" borderId="26" applyNumberFormat="0" applyAlignment="0" applyProtection="0"/>
    <xf numFmtId="0" fontId="60" fillId="79" borderId="26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24" fillId="48" borderId="26" applyNumberFormat="0" applyFont="0" applyAlignment="0" applyProtection="0"/>
    <xf numFmtId="4" fontId="36" fillId="54" borderId="76" applyNumberFormat="0" applyProtection="0">
      <alignment vertical="center"/>
    </xf>
    <xf numFmtId="4" fontId="24" fillId="82" borderId="26" applyNumberFormat="0" applyProtection="0">
      <alignment vertical="center"/>
    </xf>
    <xf numFmtId="4" fontId="86" fillId="54" borderId="2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143" fillId="116" borderId="81" applyNumberFormat="0" applyAlignment="0" applyProtection="0"/>
    <xf numFmtId="0" fontId="143" fillId="116" borderId="81" applyNumberFormat="0" applyAlignment="0" applyProtection="0"/>
    <xf numFmtId="4" fontId="24" fillId="83" borderId="2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24" fillId="70" borderId="56" applyNumberFormat="0">
      <protection locked="0"/>
    </xf>
    <xf numFmtId="0" fontId="3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" fontId="43" fillId="102" borderId="76" applyNumberFormat="0" applyProtection="0">
      <alignment horizontal="left" vertical="center" indent="1"/>
    </xf>
    <xf numFmtId="0" fontId="24" fillId="73" borderId="79"/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43" fillId="72" borderId="72" applyNumberFormat="0" applyProtection="0">
      <alignment vertical="center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4" fillId="73" borderId="79"/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6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8" fontId="3" fillId="0" borderId="70" applyFont="0" applyFill="0" applyBorder="0" applyProtection="0">
      <alignment horizontal="right"/>
    </xf>
    <xf numFmtId="0" fontId="3" fillId="84" borderId="72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9" fillId="82" borderId="76" applyNumberFormat="0" applyProtection="0">
      <alignment vertical="center"/>
    </xf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9"/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24" fillId="102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0" fontId="24" fillId="102" borderId="76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129" fillId="104" borderId="81" applyNumberFormat="0" applyAlignment="0" applyProtection="0"/>
    <xf numFmtId="4" fontId="43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84" fillId="0" borderId="7">
      <alignment horizontal="center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4" fillId="102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4" fillId="73" borderId="79"/>
    <xf numFmtId="0" fontId="24" fillId="105" borderId="26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4" fontId="3" fillId="7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92" fillId="70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73" borderId="79"/>
    <xf numFmtId="4" fontId="43" fillId="97" borderId="72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73" borderId="79"/>
    <xf numFmtId="4" fontId="43" fillId="96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9"/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24" fillId="73" borderId="79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24" fillId="73" borderId="79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8" fillId="68" borderId="7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3" borderId="79"/>
    <xf numFmtId="0" fontId="3" fillId="69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5" fillId="0" borderId="36" applyNumberFormat="0" applyFill="0" applyAlignment="0" applyProtection="0"/>
    <xf numFmtId="4" fontId="43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9" fontId="95" fillId="110" borderId="35"/>
    <xf numFmtId="0" fontId="3" fillId="55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0" fontId="154" fillId="125" borderId="74" applyBorder="0" applyProtection="0">
      <alignment horizontal="centerContinuous" vertical="center"/>
    </xf>
    <xf numFmtId="0" fontId="24" fillId="102" borderId="76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9" fillId="99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8" fillId="64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3" borderId="79"/>
    <xf numFmtId="0" fontId="24" fillId="107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24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24" fillId="104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24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143" fillId="116" borderId="81" applyNumberFormat="0" applyAlignment="0" applyProtection="0"/>
    <xf numFmtId="10" fontId="24" fillId="72" borderId="79" applyNumberFormat="0" applyBorder="0" applyAlignment="0" applyProtection="0"/>
    <xf numFmtId="4" fontId="43" fillId="93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7" fillId="54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28" fillId="0" borderId="80" applyFill="0" applyProtection="0">
      <alignment horizontal="right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0" fontId="3" fillId="0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49" fontId="95" fillId="110" borderId="35"/>
    <xf numFmtId="4" fontId="24" fillId="83" borderId="2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4" fillId="73" borderId="79"/>
    <xf numFmtId="0" fontId="24" fillId="70" borderId="56" applyNumberFormat="0">
      <protection locked="0"/>
    </xf>
    <xf numFmtId="4" fontId="24" fillId="102" borderId="33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10" fontId="24" fillId="72" borderId="79" applyNumberFormat="0" applyBorder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4">
      <alignment horizontal="right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2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36" fillId="54" borderId="76" applyNumberFormat="0" applyProtection="0">
      <alignment vertical="center"/>
    </xf>
    <xf numFmtId="0" fontId="73" fillId="49" borderId="26" applyNumberFormat="0" applyAlignment="0" applyProtection="0"/>
    <xf numFmtId="4" fontId="39" fillId="54" borderId="7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4" fontId="43" fillId="72" borderId="72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4" fillId="73" borderId="79"/>
    <xf numFmtId="4" fontId="38" fillId="62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8" fillId="104" borderId="72" applyNumberFormat="0" applyAlignment="0" applyProtection="0"/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49" fillId="6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32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4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24" fillId="73" borderId="79"/>
    <xf numFmtId="4" fontId="24" fillId="90" borderId="2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73" borderId="79"/>
    <xf numFmtId="4" fontId="24" fillId="0" borderId="2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24" fillId="70" borderId="56" applyNumberFormat="0">
      <protection locked="0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189" fontId="153" fillId="0" borderId="53" applyBorder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154" fillId="125" borderId="53" applyBorder="0" applyProtection="0">
      <alignment horizontal="centerContinuous" vertical="center"/>
    </xf>
    <xf numFmtId="0" fontId="135" fillId="0" borderId="46" applyFill="0" applyBorder="0" applyProtection="0">
      <alignment horizontal="left" vertical="top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32" fillId="0" borderId="75"/>
    <xf numFmtId="0" fontId="3" fillId="68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4" fillId="85" borderId="2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81" fillId="79" borderId="72" applyNumberFormat="0" applyAlignment="0" applyProtection="0"/>
    <xf numFmtId="4" fontId="24" fillId="96" borderId="2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5" fillId="0" borderId="36" applyNumberFormat="0" applyFill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44" fillId="0" borderId="7">
      <alignment horizontal="right"/>
    </xf>
    <xf numFmtId="0" fontId="144" fillId="0" borderId="7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4" fillId="0" borderId="7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95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10" fontId="24" fillId="72" borderId="79" applyNumberFormat="0" applyBorder="0" applyAlignment="0" applyProtection="0"/>
    <xf numFmtId="0" fontId="3" fillId="68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0" fontId="128" fillId="0" borderId="80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4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44" fillId="0" borderId="7">
      <alignment horizontal="right"/>
    </xf>
    <xf numFmtId="4" fontId="38" fillId="64" borderId="7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61" borderId="72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93" fillId="67" borderId="35">
      <protection locked="0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194" fontId="132" fillId="0" borderId="44">
      <alignment horizontal="right"/>
    </xf>
    <xf numFmtId="0" fontId="43" fillId="68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9" fontId="95" fillId="110" borderId="35"/>
    <xf numFmtId="0" fontId="3" fillId="68" borderId="76" applyNumberFormat="0" applyProtection="0">
      <alignment horizontal="left" vertical="top" indent="1"/>
    </xf>
    <xf numFmtId="0" fontId="24" fillId="73" borderId="79"/>
    <xf numFmtId="4" fontId="43" fillId="85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0" borderId="72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3" borderId="79"/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0" fontId="24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24" fillId="70" borderId="56" applyNumberFormat="0">
      <protection locked="0"/>
    </xf>
    <xf numFmtId="4" fontId="24" fillId="83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" fillId="0" borderId="0"/>
    <xf numFmtId="4" fontId="43" fillId="72" borderId="72" applyNumberFormat="0" applyProtection="0">
      <alignment vertical="center"/>
    </xf>
    <xf numFmtId="0" fontId="24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43" fillId="96" borderId="7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73" fillId="49" borderId="26" applyNumberFormat="0" applyAlignment="0" applyProtection="0"/>
    <xf numFmtId="4" fontId="43" fillId="103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9" fontId="95" fillId="110" borderId="35"/>
    <xf numFmtId="0" fontId="24" fillId="48" borderId="26" applyNumberFormat="0" applyFont="0" applyAlignment="0" applyProtection="0"/>
    <xf numFmtId="4" fontId="43" fillId="54" borderId="72" applyNumberFormat="0" applyProtection="0">
      <alignment vertical="center"/>
    </xf>
    <xf numFmtId="0" fontId="35" fillId="0" borderId="36" applyNumberFormat="0" applyFill="0" applyAlignment="0" applyProtection="0"/>
    <xf numFmtId="4" fontId="43" fillId="7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24" fillId="107" borderId="2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4" fillId="70" borderId="56" applyNumberFormat="0">
      <protection locked="0"/>
    </xf>
    <xf numFmtId="0" fontId="24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9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189" fontId="153" fillId="0" borderId="74" applyBorder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148" fillId="104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128" fillId="0" borderId="80" applyFill="0" applyProtection="0">
      <alignment horizontal="right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4" fontId="116" fillId="54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24" fillId="48" borderId="26" applyNumberFormat="0" applyFont="0" applyAlignment="0" applyProtection="0"/>
    <xf numFmtId="0" fontId="24" fillId="102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29" fillId="104" borderId="81" applyNumberFormat="0" applyAlignment="0" applyProtection="0"/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3" fontId="132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10" fontId="24" fillId="72" borderId="79" applyNumberFormat="0" applyBorder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87" fillId="82" borderId="76" applyNumberFormat="0" applyProtection="0">
      <alignment horizontal="left" vertical="top" indent="1"/>
    </xf>
    <xf numFmtId="194" fontId="132" fillId="0" borderId="44">
      <alignment horizontal="right"/>
    </xf>
    <xf numFmtId="4" fontId="24" fillId="83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63" borderId="72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107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101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73" borderId="79"/>
    <xf numFmtId="0" fontId="24" fillId="48" borderId="26" applyNumberFormat="0" applyFont="0" applyAlignment="0" applyProtection="0"/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8" fillId="104" borderId="72" applyNumberFormat="0" applyAlignment="0" applyProtection="0"/>
    <xf numFmtId="0" fontId="148" fillId="104" borderId="72" applyNumberFormat="0" applyAlignment="0" applyProtection="0"/>
    <xf numFmtId="0" fontId="3" fillId="55" borderId="7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4" fontId="24" fillId="89" borderId="26" applyNumberFormat="0" applyProtection="0">
      <alignment horizontal="right" vertical="center"/>
    </xf>
    <xf numFmtId="0" fontId="24" fillId="107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89" borderId="2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0" fontId="73" fillId="49" borderId="26" applyNumberFormat="0" applyAlignment="0" applyProtection="0"/>
    <xf numFmtId="4" fontId="38" fillId="56" borderId="7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0" fontId="93" fillId="67" borderId="35">
      <protection locked="0"/>
    </xf>
    <xf numFmtId="4" fontId="24" fillId="95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32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4" fillId="73" borderId="79"/>
    <xf numFmtId="0" fontId="3" fillId="69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6" applyNumberFormat="0" applyProtection="0">
      <alignment vertical="center"/>
    </xf>
    <xf numFmtId="4" fontId="24" fillId="102" borderId="2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4" fillId="70" borderId="56" applyNumberFormat="0">
      <protection locked="0"/>
    </xf>
    <xf numFmtId="4" fontId="88" fillId="108" borderId="76" applyNumberFormat="0" applyProtection="0">
      <alignment vertical="center"/>
    </xf>
    <xf numFmtId="4" fontId="24" fillId="86" borderId="26" applyNumberFormat="0" applyProtection="0">
      <alignment horizontal="right" vertical="center"/>
    </xf>
    <xf numFmtId="0" fontId="135" fillId="0" borderId="46" applyFill="0" applyBorder="0" applyProtection="0">
      <alignment horizontal="left" vertical="top"/>
    </xf>
    <xf numFmtId="4" fontId="43" fillId="58" borderId="7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32" fillId="0" borderId="75"/>
    <xf numFmtId="4" fontId="24" fillId="85" borderId="26" applyNumberFormat="0" applyProtection="0">
      <alignment horizontal="right" vertical="center"/>
    </xf>
    <xf numFmtId="4" fontId="90" fillId="109" borderId="33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7" borderId="7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10" fontId="24" fillId="72" borderId="79" applyNumberFormat="0" applyBorder="0" applyAlignment="0" applyProtection="0"/>
    <xf numFmtId="0" fontId="24" fillId="71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0" fontId="128" fillId="0" borderId="80" applyFill="0" applyProtection="0">
      <alignment horizontal="right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4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4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2" fillId="0" borderId="0" applyFont="0" applyFill="0" applyBorder="0" applyAlignment="0" applyProtection="0"/>
    <xf numFmtId="4" fontId="48" fillId="68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24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24" fillId="71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3" fillId="66" borderId="7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2" applyNumberFormat="0" applyProtection="0">
      <alignment horizontal="right" vertical="center"/>
    </xf>
    <xf numFmtId="0" fontId="24" fillId="101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24" fillId="101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0" fontId="60" fillId="79" borderId="26" applyNumberFormat="0" applyAlignment="0" applyProtection="0"/>
    <xf numFmtId="4" fontId="24" fillId="102" borderId="33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98" borderId="33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24" fillId="73" borderId="79"/>
    <xf numFmtId="4" fontId="24" fillId="82" borderId="26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24" fillId="7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70" borderId="56" applyNumberFormat="0">
      <protection locked="0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154" fillId="125" borderId="53" applyBorder="0" applyProtection="0">
      <alignment horizontal="centerContinuous" vertical="center"/>
    </xf>
    <xf numFmtId="189" fontId="153" fillId="0" borderId="53" applyBorder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91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3" fillId="64" borderId="72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60" fillId="79" borderId="26" applyNumberFormat="0" applyAlignment="0" applyProtection="0"/>
    <xf numFmtId="0" fontId="24" fillId="102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128" fillId="0" borderId="80" applyFill="0" applyProtection="0">
      <alignment horizontal="right"/>
    </xf>
    <xf numFmtId="4" fontId="24" fillId="94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24" fillId="73" borderId="79"/>
    <xf numFmtId="0" fontId="24" fillId="107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24" fillId="85" borderId="2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60" fillId="79" borderId="26" applyNumberFormat="0" applyAlignment="0" applyProtection="0"/>
    <xf numFmtId="0" fontId="3" fillId="55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81" fillId="79" borderId="72" applyNumberFormat="0" applyAlignment="0" applyProtection="0"/>
    <xf numFmtId="4" fontId="43" fillId="54" borderId="72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39" fillId="98" borderId="55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194" fontId="132" fillId="0" borderId="44">
      <alignment horizontal="right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24" fillId="70" borderId="56" applyNumberFormat="0">
      <protection locked="0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93" fillId="67" borderId="35">
      <protection locked="0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14" fillId="71" borderId="77" applyBorder="0"/>
    <xf numFmtId="4" fontId="44" fillId="69" borderId="76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73" borderId="79"/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24" fillId="95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5" borderId="55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4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24" fillId="70" borderId="56" applyNumberFormat="0">
      <protection locked="0"/>
    </xf>
    <xf numFmtId="0" fontId="3" fillId="84" borderId="72" applyNumberFormat="0" applyProtection="0">
      <alignment horizontal="left" vertical="center" indent="1"/>
    </xf>
    <xf numFmtId="0" fontId="129" fillId="104" borderId="81" applyNumberFormat="0" applyAlignment="0" applyProtection="0"/>
    <xf numFmtId="4" fontId="24" fillId="95" borderId="2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81" fillId="79" borderId="72" applyNumberFormat="0" applyAlignment="0" applyProtection="0"/>
    <xf numFmtId="4" fontId="24" fillId="88" borderId="33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48" fillId="104" borderId="72" applyNumberFormat="0" applyAlignment="0" applyProtection="0"/>
    <xf numFmtId="4" fontId="43" fillId="0" borderId="72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189" fontId="153" fillId="0" borderId="74" applyBorder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194" fontId="132" fillId="0" borderId="44">
      <alignment horizontal="right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8" fontId="3" fillId="0" borderId="70" applyFont="0" applyFill="0" applyBorder="0" applyProtection="0">
      <alignment horizontal="right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4" fontId="43" fillId="72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14" fillId="71" borderId="77" applyBorder="0"/>
    <xf numFmtId="4" fontId="38" fillId="6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52" fillId="0" borderId="57" applyNumberFormat="0" applyFill="0" applyProtection="0">
      <alignment horizontal="center"/>
    </xf>
    <xf numFmtId="4" fontId="24" fillId="90" borderId="2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24" fillId="70" borderId="56" applyNumberFormat="0">
      <protection locked="0"/>
    </xf>
    <xf numFmtId="4" fontId="43" fillId="103" borderId="72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71" fillId="0" borderId="30" applyNumberFormat="0" applyFill="0" applyAlignment="0" applyProtection="0"/>
    <xf numFmtId="4" fontId="43" fillId="54" borderId="72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4" fillId="73" borderId="79"/>
    <xf numFmtId="0" fontId="39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86" fillId="67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135" fillId="0" borderId="46" applyFill="0" applyBorder="0" applyProtection="0">
      <alignment horizontal="left" vertical="top"/>
    </xf>
    <xf numFmtId="3" fontId="132" fillId="0" borderId="75"/>
    <xf numFmtId="0" fontId="24" fillId="101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43" fillId="116" borderId="81" applyNumberFormat="0" applyAlignment="0" applyProtection="0"/>
    <xf numFmtId="4" fontId="92" fillId="70" borderId="2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101" borderId="76" applyNumberFormat="0" applyProtection="0">
      <alignment horizontal="left" vertical="top" indent="1"/>
    </xf>
    <xf numFmtId="0" fontId="93" fillId="67" borderId="35">
      <protection locked="0"/>
    </xf>
    <xf numFmtId="49" fontId="95" fillId="110" borderId="35"/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0" fontId="24" fillId="73" borderId="79"/>
    <xf numFmtId="0" fontId="24" fillId="71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24" fillId="73" borderId="79"/>
    <xf numFmtId="4" fontId="116" fillId="54" borderId="76" applyNumberFormat="0" applyProtection="0">
      <alignment vertical="center"/>
    </xf>
    <xf numFmtId="4" fontId="43" fillId="94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60" fillId="79" borderId="26" applyNumberFormat="0" applyAlignment="0" applyProtection="0"/>
    <xf numFmtId="4" fontId="24" fillId="90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70" borderId="56" applyNumberFormat="0">
      <protection locked="0"/>
    </xf>
    <xf numFmtId="0" fontId="24" fillId="70" borderId="56" applyNumberFormat="0">
      <protection locked="0"/>
    </xf>
    <xf numFmtId="0" fontId="24" fillId="70" borderId="56" applyNumberFormat="0">
      <protection locked="0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70" borderId="56" applyNumberFormat="0">
      <protection locked="0"/>
    </xf>
    <xf numFmtId="4" fontId="36" fillId="66" borderId="78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24" fillId="73" borderId="79"/>
    <xf numFmtId="4" fontId="24" fillId="10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71" fillId="0" borderId="30" applyNumberFormat="0" applyFill="0" applyAlignment="0" applyProtection="0"/>
    <xf numFmtId="4" fontId="43" fillId="103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9" fillId="98" borderId="55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4" fillId="71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" fillId="0" borderId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8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4" fillId="73" borderId="79"/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24" fillId="86" borderId="26" applyNumberFormat="0" applyProtection="0">
      <alignment horizontal="right" vertical="center"/>
    </xf>
    <xf numFmtId="0" fontId="24" fillId="48" borderId="26" applyNumberFormat="0" applyFont="0" applyAlignment="0" applyProtection="0"/>
    <xf numFmtId="4" fontId="43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135" fillId="0" borderId="46" applyFill="0" applyBorder="0" applyProtection="0">
      <alignment horizontal="left" vertical="top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48" borderId="26" applyNumberFormat="0" applyFont="0" applyAlignment="0" applyProtection="0"/>
    <xf numFmtId="4" fontId="24" fillId="5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5" fillId="0" borderId="36" applyNumberFormat="0" applyFill="0" applyAlignment="0" applyProtection="0"/>
    <xf numFmtId="0" fontId="24" fillId="104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4" fillId="89" borderId="2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85" borderId="2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4" fillId="73" borderId="79"/>
    <xf numFmtId="0" fontId="43" fillId="68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24" fillId="71" borderId="76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4" fillId="102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92" fillId="70" borderId="2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4" fillId="71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4" fillId="73" borderId="79"/>
    <xf numFmtId="0" fontId="24" fillId="101" borderId="26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97" borderId="72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24" fillId="73" borderId="79"/>
    <xf numFmtId="4" fontId="24" fillId="101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194" fontId="132" fillId="0" borderId="44">
      <alignment horizontal="right"/>
    </xf>
    <xf numFmtId="4" fontId="43" fillId="88" borderId="7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107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71" fillId="0" borderId="30" applyNumberFormat="0" applyFill="0" applyAlignment="0" applyProtection="0"/>
    <xf numFmtId="0" fontId="43" fillId="68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24" fillId="70" borderId="56" applyNumberFormat="0">
      <protection locked="0"/>
    </xf>
    <xf numFmtId="0" fontId="24" fillId="101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6" applyNumberFormat="0" applyAlignment="0" applyProtection="0"/>
    <xf numFmtId="0" fontId="24" fillId="70" borderId="56" applyNumberFormat="0">
      <protection locked="0"/>
    </xf>
    <xf numFmtId="0" fontId="24" fillId="70" borderId="56" applyNumberFormat="0">
      <protection locked="0"/>
    </xf>
    <xf numFmtId="0" fontId="60" fillId="79" borderId="26" applyNumberFormat="0" applyAlignment="0" applyProtection="0"/>
    <xf numFmtId="0" fontId="24" fillId="104" borderId="2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4" fillId="90" borderId="2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43" fillId="108" borderId="82" applyNumberFormat="0" applyFont="0" applyAlignment="0" applyProtection="0"/>
    <xf numFmtId="0" fontId="88" fillId="102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86" fillId="67" borderId="2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24" fillId="48" borderId="26" applyNumberFormat="0" applyFont="0" applyAlignment="0" applyProtection="0"/>
    <xf numFmtId="4" fontId="43" fillId="88" borderId="7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38" fillId="57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24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0" fontId="24" fillId="70" borderId="56" applyNumberFormat="0">
      <protection locked="0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43" fillId="72" borderId="72" applyNumberFormat="0" applyProtection="0">
      <alignment vertical="center"/>
    </xf>
    <xf numFmtId="4" fontId="39" fillId="82" borderId="76" applyNumberFormat="0" applyProtection="0">
      <alignment vertical="center"/>
    </xf>
    <xf numFmtId="0" fontId="14" fillId="71" borderId="77" applyBorder="0"/>
    <xf numFmtId="0" fontId="24" fillId="107" borderId="26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0" fontId="24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4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24" fillId="54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4" fontId="86" fillId="72" borderId="79" applyNumberFormat="0" applyProtection="0">
      <alignment vertical="center"/>
    </xf>
    <xf numFmtId="4" fontId="36" fillId="66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8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24" fillId="73" borderId="79"/>
    <xf numFmtId="0" fontId="129" fillId="104" borderId="81" applyNumberFormat="0" applyAlignment="0" applyProtection="0"/>
    <xf numFmtId="0" fontId="128" fillId="0" borderId="80" applyFill="0" applyProtection="0">
      <alignment horizontal="right"/>
    </xf>
    <xf numFmtId="0" fontId="143" fillId="116" borderId="81" applyNumberFormat="0" applyAlignment="0" applyProtection="0"/>
    <xf numFmtId="4" fontId="24" fillId="94" borderId="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24" fillId="70" borderId="56" applyNumberFormat="0">
      <protection locked="0"/>
    </xf>
    <xf numFmtId="4" fontId="44" fillId="69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4" fillId="73" borderId="79"/>
    <xf numFmtId="0" fontId="39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" fillId="0" borderId="0"/>
    <xf numFmtId="0" fontId="39" fillId="0" borderId="73" applyNumberFormat="0" applyFill="0" applyAlignment="0" applyProtection="0"/>
    <xf numFmtId="4" fontId="24" fillId="90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24" fillId="48" borderId="26" applyNumberFormat="0" applyFont="0" applyAlignment="0" applyProtection="0"/>
    <xf numFmtId="4" fontId="39" fillId="54" borderId="7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24" fillId="102" borderId="33" applyNumberFormat="0" applyProtection="0">
      <alignment horizontal="left" vertical="center" indent="1"/>
    </xf>
    <xf numFmtId="0" fontId="24" fillId="48" borderId="26" applyNumberFormat="0" applyFont="0" applyAlignment="0" applyProtection="0"/>
    <xf numFmtId="4" fontId="24" fillId="54" borderId="26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vertical="center"/>
    </xf>
    <xf numFmtId="0" fontId="24" fillId="101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24" fillId="101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4" fillId="104" borderId="2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90" fillId="109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93" fillId="67" borderId="35">
      <protection locked="0"/>
    </xf>
    <xf numFmtId="4" fontId="36" fillId="66" borderId="7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4" fillId="105" borderId="26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4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4" fillId="54" borderId="26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71" fillId="0" borderId="30" applyNumberFormat="0" applyFill="0" applyAlignment="0" applyProtection="0"/>
    <xf numFmtId="0" fontId="73" fillId="49" borderId="26" applyNumberFormat="0" applyAlignment="0" applyProtection="0"/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24" fillId="71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4" fillId="88" borderId="33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6" applyNumberFormat="0" applyProtection="0">
      <alignment horizontal="left" vertical="top" indent="1"/>
    </xf>
    <xf numFmtId="4" fontId="24" fillId="86" borderId="2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4" fillId="73" borderId="79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10" fontId="24" fillId="72" borderId="79" applyNumberFormat="0" applyBorder="0" applyAlignment="0" applyProtection="0"/>
    <xf numFmtId="4" fontId="24" fillId="83" borderId="2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4" fontId="24" fillId="82" borderId="26" applyNumberFormat="0" applyProtection="0">
      <alignment vertical="center"/>
    </xf>
    <xf numFmtId="0" fontId="3" fillId="103" borderId="72" applyNumberFormat="0" applyProtection="0">
      <alignment horizontal="left" vertical="center" indent="1"/>
    </xf>
    <xf numFmtId="4" fontId="24" fillId="86" borderId="26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4" fillId="85" borderId="2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24" fillId="71" borderId="76" applyNumberFormat="0" applyProtection="0">
      <alignment horizontal="left" vertical="top" indent="1"/>
    </xf>
    <xf numFmtId="4" fontId="24" fillId="101" borderId="33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90" fillId="109" borderId="33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62" fillId="77" borderId="52" applyNumberFormat="0" applyAlignment="0" applyProtection="0"/>
    <xf numFmtId="4" fontId="24" fillId="95" borderId="26" applyNumberFormat="0" applyProtection="0">
      <alignment horizontal="right" vertical="center"/>
    </xf>
    <xf numFmtId="0" fontId="62" fillId="77" borderId="52" applyNumberFormat="0" applyAlignment="0" applyProtection="0"/>
    <xf numFmtId="0" fontId="3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54" fillId="125" borderId="74" applyBorder="0" applyProtection="0">
      <alignment horizontal="centerContinuous" vertical="center"/>
    </xf>
    <xf numFmtId="4" fontId="24" fillId="83" borderId="2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3" borderId="79"/>
    <xf numFmtId="0" fontId="3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24" fillId="73" borderId="79"/>
    <xf numFmtId="4" fontId="43" fillId="102" borderId="7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4" fontId="24" fillId="102" borderId="2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4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4" fillId="70" borderId="56" applyNumberFormat="0">
      <protection locked="0"/>
    </xf>
    <xf numFmtId="0" fontId="24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4" fillId="98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85" borderId="26" applyNumberFormat="0" applyProtection="0">
      <alignment horizontal="right" vertical="center"/>
    </xf>
    <xf numFmtId="4" fontId="24" fillId="82" borderId="26" applyNumberFormat="0" applyProtection="0">
      <alignment vertical="center"/>
    </xf>
    <xf numFmtId="0" fontId="24" fillId="48" borderId="26" applyNumberFormat="0" applyFont="0" applyAlignment="0" applyProtection="0"/>
    <xf numFmtId="4" fontId="43" fillId="56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0" fontId="24" fillId="107" borderId="2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4" fillId="88" borderId="33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28" fillId="0" borderId="80" applyFill="0" applyProtection="0">
      <alignment horizontal="right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130" fillId="120" borderId="52" applyNumberFormat="0" applyAlignment="0" applyProtection="0"/>
    <xf numFmtId="0" fontId="130" fillId="120" borderId="52" applyNumberFormat="0" applyAlignment="0" applyProtection="0"/>
    <xf numFmtId="0" fontId="24" fillId="73" borderId="79"/>
    <xf numFmtId="0" fontId="43" fillId="68" borderId="76" applyNumberFormat="0" applyProtection="0">
      <alignment horizontal="left" vertical="top" indent="1"/>
    </xf>
    <xf numFmtId="0" fontId="24" fillId="73" borderId="79"/>
    <xf numFmtId="4" fontId="85" fillId="10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24" fillId="70" borderId="56" applyNumberFormat="0">
      <protection locked="0"/>
    </xf>
    <xf numFmtId="0" fontId="24" fillId="70" borderId="56" applyNumberFormat="0">
      <protection locked="0"/>
    </xf>
    <xf numFmtId="4" fontId="91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5" borderId="2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3" fillId="71" borderId="33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4" fontId="24" fillId="85" borderId="2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10" fontId="24" fillId="72" borderId="79" applyNumberFormat="0" applyBorder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4" fontId="24" fillId="54" borderId="26" applyNumberFormat="0" applyProtection="0">
      <alignment horizontal="left" vertical="center" indent="1"/>
    </xf>
    <xf numFmtId="0" fontId="144" fillId="0" borderId="65">
      <alignment horizontal="right"/>
    </xf>
    <xf numFmtId="0" fontId="144" fillId="0" borderId="65">
      <alignment horizontal="left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4">
      <alignment horizontal="right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2" applyNumberFormat="0" applyProtection="0">
      <alignment vertical="center"/>
    </xf>
    <xf numFmtId="4" fontId="24" fillId="82" borderId="26" applyNumberFormat="0" applyProtection="0">
      <alignment vertical="center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24" fillId="82" borderId="26" applyNumberFormat="0" applyProtection="0">
      <alignment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2" fillId="0" borderId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8" fillId="104" borderId="72" applyNumberFormat="0" applyAlignment="0" applyProtection="0"/>
    <xf numFmtId="0" fontId="148" fillId="104" borderId="72" applyNumberFormat="0" applyAlignment="0" applyProtection="0"/>
    <xf numFmtId="189" fontId="153" fillId="0" borderId="74" applyBorder="0" applyProtection="0">
      <alignment horizontal="right" vertic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32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83" fillId="121" borderId="68" applyNumberFormat="0" applyFont="0" applyAlignment="0" applyProtection="0"/>
    <xf numFmtId="4" fontId="24" fillId="98" borderId="33" applyNumberFormat="0" applyProtection="0">
      <alignment horizontal="left" vertical="center" indent="1"/>
    </xf>
    <xf numFmtId="4" fontId="3" fillId="71" borderId="33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135" fillId="0" borderId="46" applyFill="0" applyBorder="0" applyProtection="0">
      <alignment horizontal="left" vertical="top"/>
    </xf>
    <xf numFmtId="4" fontId="24" fillId="0" borderId="2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32" fillId="0" borderId="75"/>
    <xf numFmtId="0" fontId="24" fillId="101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24" fillId="101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4" fillId="0" borderId="65">
      <alignment horizontal="right"/>
    </xf>
    <xf numFmtId="4" fontId="91" fillId="101" borderId="76" applyNumberFormat="0" applyProtection="0">
      <alignment horizontal="right" vertical="center"/>
    </xf>
    <xf numFmtId="0" fontId="24" fillId="73" borderId="79"/>
    <xf numFmtId="4" fontId="24" fillId="83" borderId="26" applyNumberFormat="0" applyProtection="0">
      <alignment horizontal="left" vertical="center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4" fillId="82" borderId="26" applyNumberFormat="0" applyProtection="0">
      <alignment vertical="center"/>
    </xf>
    <xf numFmtId="0" fontId="24" fillId="73" borderId="79"/>
    <xf numFmtId="4" fontId="91" fillId="101" borderId="76" applyNumberFormat="0" applyProtection="0">
      <alignment horizontal="right" vertical="center"/>
    </xf>
    <xf numFmtId="0" fontId="24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10" fontId="24" fillId="72" borderId="79" applyNumberFormat="0" applyBorder="0" applyAlignment="0" applyProtection="0"/>
    <xf numFmtId="4" fontId="24" fillId="94" borderId="2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0" fontId="128" fillId="0" borderId="80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4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" fontId="24" fillId="95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4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8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102" borderId="33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4" fillId="96" borderId="26" applyNumberFormat="0" applyProtection="0">
      <alignment horizontal="right" vertical="center"/>
    </xf>
    <xf numFmtId="4" fontId="24" fillId="96" borderId="2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4" fillId="98" borderId="33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24" fillId="95" borderId="2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4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28" fillId="0" borderId="80" applyFill="0" applyProtection="0">
      <alignment horizontal="right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129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0" fontId="129" fillId="104" borderId="81" applyNumberFormat="0" applyAlignment="0" applyProtection="0"/>
    <xf numFmtId="0" fontId="43" fillId="72" borderId="76" applyNumberFormat="0" applyProtection="0">
      <alignment horizontal="left" vertical="top" indent="1"/>
    </xf>
    <xf numFmtId="0" fontId="129" fillId="104" borderId="81" applyNumberForma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1" borderId="26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4" fillId="105" borderId="2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2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4" fillId="88" borderId="33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10" fontId="24" fillId="72" borderId="79" applyNumberFormat="0" applyBorder="0" applyAlignment="0" applyProtection="0"/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128" fillId="0" borderId="80" applyFill="0" applyProtection="0">
      <alignment horizontal="right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35" fillId="0" borderId="36" applyNumberFormat="0" applyFill="0" applyAlignment="0" applyProtection="0"/>
    <xf numFmtId="4" fontId="92" fillId="70" borderId="2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6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4" fillId="107" borderId="76" applyNumberFormat="0" applyProtection="0">
      <alignment horizontal="left" vertical="top" indent="1"/>
    </xf>
    <xf numFmtId="0" fontId="24" fillId="107" borderId="26" applyNumberFormat="0" applyProtection="0">
      <alignment horizontal="left" vertical="center" indent="1"/>
    </xf>
    <xf numFmtId="0" fontId="24" fillId="107" borderId="26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4" fillId="105" borderId="2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0" fontId="24" fillId="104" borderId="2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4" fontId="24" fillId="102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102" borderId="2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3" fillId="93" borderId="72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2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24" fillId="90" borderId="2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4" fillId="89" borderId="26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4" fillId="88" borderId="33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5" borderId="2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4" fontId="24" fillId="83" borderId="26" applyNumberFormat="0" applyProtection="0">
      <alignment horizontal="left" vertical="center" indent="1"/>
    </xf>
    <xf numFmtId="0" fontId="143" fillId="116" borderId="81" applyNumberFormat="0" applyAlignment="0" applyProtection="0"/>
    <xf numFmtId="0" fontId="143" fillId="116" borderId="81" applyNumberFormat="0" applyAlignment="0" applyProtection="0"/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194" fontId="132" fillId="0" borderId="44">
      <alignment horizontal="right"/>
    </xf>
    <xf numFmtId="4" fontId="24" fillId="54" borderId="2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6" applyNumberFormat="0" applyProtection="0">
      <alignment vertical="center"/>
    </xf>
    <xf numFmtId="4" fontId="24" fillId="82" borderId="26" applyNumberFormat="0" applyProtection="0">
      <alignment vertical="center"/>
    </xf>
    <xf numFmtId="4" fontId="43" fillId="54" borderId="72" applyNumberFormat="0" applyProtection="0">
      <alignment vertical="center"/>
    </xf>
    <xf numFmtId="4" fontId="24" fillId="82" borderId="2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9" fillId="54" borderId="76" applyNumberFormat="0" applyProtection="0">
      <alignment horizontal="left" vertical="center" indent="1"/>
    </xf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24" fillId="48" borderId="26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8" fillId="104" borderId="72" applyNumberFormat="0" applyAlignment="0" applyProtection="0"/>
    <xf numFmtId="0" fontId="148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32" fillId="0" borderId="1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5" borderId="2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93" fillId="67" borderId="35">
      <protection locked="0"/>
    </xf>
    <xf numFmtId="49" fontId="95" fillId="110" borderId="35"/>
    <xf numFmtId="0" fontId="135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32" fillId="0" borderId="75"/>
    <xf numFmtId="4" fontId="43" fillId="8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88" fillId="102" borderId="76" applyNumberFormat="0" applyProtection="0">
      <alignment horizontal="left" vertical="top" indent="1"/>
    </xf>
    <xf numFmtId="4" fontId="24" fillId="0" borderId="26" applyNumberFormat="0" applyProtection="0">
      <alignment horizontal="right" vertical="center"/>
    </xf>
    <xf numFmtId="4" fontId="24" fillId="0" borderId="26" applyNumberFormat="0" applyProtection="0">
      <alignment horizontal="right" vertical="center"/>
    </xf>
    <xf numFmtId="0" fontId="88" fillId="108" borderId="76" applyNumberFormat="0" applyProtection="0">
      <alignment horizontal="left" vertical="top" indent="1"/>
    </xf>
    <xf numFmtId="0" fontId="24" fillId="107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4" fillId="92" borderId="2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58" borderId="72" applyNumberFormat="0" applyProtection="0">
      <alignment horizontal="right" vertical="center"/>
    </xf>
    <xf numFmtId="4" fontId="24" fillId="86" borderId="2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4" fillId="54" borderId="26" applyNumberFormat="0" applyProtection="0">
      <alignment horizontal="left" vertical="center" indent="1"/>
    </xf>
    <xf numFmtId="4" fontId="24" fillId="54" borderId="2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16" borderId="81" applyNumberFormat="0" applyAlignment="0" applyProtection="0"/>
    <xf numFmtId="0" fontId="143" fillId="116" borderId="81" applyNumberFormat="0" applyAlignment="0" applyProtection="0"/>
    <xf numFmtId="4" fontId="43" fillId="54" borderId="72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0" fontId="129" fillId="104" borderId="81" applyNumberFormat="0" applyAlignment="0" applyProtection="0"/>
    <xf numFmtId="0" fontId="129" fillId="104" borderId="81" applyNumberFormat="0" applyAlignment="0" applyProtection="0"/>
    <xf numFmtId="0" fontId="128" fillId="0" borderId="80" applyFill="0" applyProtection="0">
      <alignment horizontal="right"/>
    </xf>
    <xf numFmtId="4" fontId="24" fillId="94" borderId="2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4" fillId="94" borderId="2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4" fontId="2" fillId="0" borderId="0" applyFont="0" applyFill="0" applyBorder="0" applyAlignment="0" applyProtection="0"/>
    <xf numFmtId="4" fontId="24" fillId="95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4" fillId="94" borderId="2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4" fillId="83" borderId="26" applyNumberFormat="0" applyProtection="0">
      <alignment horizontal="left" vertical="center" indent="1"/>
    </xf>
    <xf numFmtId="4" fontId="24" fillId="95" borderId="2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4" fillId="83" borderId="26" applyNumberFormat="0" applyProtection="0">
      <alignment horizontal="left" vertical="center" indent="1"/>
    </xf>
    <xf numFmtId="194" fontId="132" fillId="0" borderId="44">
      <alignment horizontal="right"/>
    </xf>
    <xf numFmtId="0" fontId="3" fillId="66" borderId="76" applyNumberFormat="0" applyProtection="0">
      <alignment horizontal="left" vertical="center" indent="1"/>
    </xf>
    <xf numFmtId="0" fontId="143" fillId="116" borderId="81" applyNumberForma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135" fillId="0" borderId="46" applyFill="0" applyBorder="0" applyProtection="0">
      <alignment horizontal="left" vertical="top"/>
    </xf>
    <xf numFmtId="4" fontId="43" fillId="9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194" fontId="132" fillId="0" borderId="44">
      <alignment horizontal="right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148" fillId="104" borderId="72" applyNumberFormat="0" applyAlignment="0" applyProtection="0"/>
    <xf numFmtId="0" fontId="148" fillId="104" borderId="72" applyNumberFormat="0" applyAlignment="0" applyProtection="0"/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143" fillId="116" borderId="81" applyNumberFormat="0" applyAlignment="0" applyProtection="0"/>
    <xf numFmtId="4" fontId="44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32" fillId="0" borderId="75"/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35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129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3" fontId="132" fillId="0" borderId="75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35" fillId="0" borderId="46" applyFill="0" applyBorder="0" applyProtection="0">
      <alignment horizontal="left" vertical="top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3" fontId="132" fillId="0" borderId="75"/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8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144" fillId="0" borderId="65">
      <alignment horizontal="right"/>
    </xf>
    <xf numFmtId="0" fontId="144" fillId="0" borderId="65">
      <alignment horizontal="left"/>
    </xf>
    <xf numFmtId="0" fontId="3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84" fillId="0" borderId="65">
      <alignment horizontal="center"/>
    </xf>
    <xf numFmtId="49" fontId="95" fillId="110" borderId="35"/>
    <xf numFmtId="0" fontId="93" fillId="67" borderId="35">
      <protection locked="0"/>
    </xf>
    <xf numFmtId="0" fontId="3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189" fontId="153" fillId="0" borderId="74" applyBorder="0" applyProtection="0">
      <alignment horizontal="right" vertical="center"/>
    </xf>
    <xf numFmtId="0" fontId="154" fillId="125" borderId="74" applyBorder="0" applyProtection="0">
      <alignment horizontal="centerContinuous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144" fillId="0" borderId="65">
      <alignment horizontal="right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4" fillId="73" borderId="79"/>
    <xf numFmtId="4" fontId="43" fillId="102" borderId="76" applyNumberFormat="0" applyProtection="0">
      <alignment horizontal="left" vertical="center" indent="1"/>
    </xf>
    <xf numFmtId="0" fontId="143" fillId="116" borderId="81" applyNumberFormat="0" applyAlignment="0" applyProtection="0"/>
    <xf numFmtId="10" fontId="24" fillId="72" borderId="79" applyNumberFormat="0" applyBorder="0" applyAlignment="0" applyProtection="0"/>
    <xf numFmtId="0" fontId="43" fillId="108" borderId="82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24" fillId="101" borderId="76" applyNumberFormat="0" applyProtection="0">
      <alignment horizontal="left" vertical="top" indent="1"/>
    </xf>
    <xf numFmtId="0" fontId="87" fillId="82" borderId="76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92" fillId="70" borderId="26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2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32" fillId="0" borderId="88">
      <alignment horizontal="right"/>
    </xf>
    <xf numFmtId="44" fontId="3" fillId="0" borderId="0" applyFont="0" applyFill="0" applyBorder="0" applyAlignment="0" applyProtection="0"/>
    <xf numFmtId="4" fontId="24" fillId="102" borderId="33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8" fillId="108" borderId="76" applyNumberFormat="0" applyProtection="0">
      <alignment vertical="center"/>
    </xf>
    <xf numFmtId="0" fontId="3" fillId="0" borderId="0"/>
    <xf numFmtId="49" fontId="95" fillId="110" borderId="86"/>
    <xf numFmtId="4" fontId="24" fillId="83" borderId="26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3" fillId="0" borderId="0"/>
    <xf numFmtId="4" fontId="43" fillId="72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5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3" fillId="76" borderId="0" applyNumberFormat="0" applyBorder="0" applyAlignment="0" applyProtection="0"/>
    <xf numFmtId="4" fontId="3" fillId="71" borderId="33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6" fillId="20" borderId="0" applyNumberFormat="0" applyBorder="0" applyAlignment="0" applyProtection="0"/>
    <xf numFmtId="43" fontId="3" fillId="0" borderId="0" applyFont="0" applyFill="0" applyBorder="0" applyAlignment="0" applyProtection="0"/>
    <xf numFmtId="0" fontId="56" fillId="24" borderId="0" applyNumberFormat="0" applyBorder="0" applyAlignment="0" applyProtection="0"/>
    <xf numFmtId="0" fontId="24" fillId="101" borderId="26" applyNumberFormat="0" applyProtection="0">
      <alignment horizontal="left" vertical="center" indent="1"/>
    </xf>
    <xf numFmtId="0" fontId="56" fillId="12" borderId="0" applyNumberFormat="0" applyBorder="0" applyAlignment="0" applyProtection="0"/>
    <xf numFmtId="189" fontId="153" fillId="0" borderId="74" applyBorder="0" applyProtection="0">
      <alignment horizontal="right" vertical="center"/>
    </xf>
    <xf numFmtId="0" fontId="154" fillId="125" borderId="74" applyBorder="0" applyProtection="0">
      <alignment horizontal="centerContinuous" vertical="center"/>
    </xf>
    <xf numFmtId="0" fontId="3" fillId="4" borderId="72" applyNumberFormat="0" applyProtection="0">
      <alignment horizontal="left" vertical="center" indent="1"/>
    </xf>
    <xf numFmtId="4" fontId="24" fillId="101" borderId="33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4" fillId="71" borderId="76" applyNumberFormat="0" applyProtection="0">
      <alignment horizontal="left" vertical="top" indent="1"/>
    </xf>
    <xf numFmtId="0" fontId="24" fillId="102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4" fillId="83" borderId="2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3" fillId="0" borderId="0" applyFont="0" applyFill="0" applyBorder="0" applyAlignment="0" applyProtection="0"/>
    <xf numFmtId="0" fontId="24" fillId="102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154" fillId="125" borderId="74" applyBorder="0" applyProtection="0">
      <alignment horizontal="centerContinuous" vertical="center"/>
    </xf>
    <xf numFmtId="189" fontId="153" fillId="0" borderId="74" applyBorder="0" applyProtection="0">
      <alignment horizontal="right" vertical="center"/>
    </xf>
    <xf numFmtId="0" fontId="33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2" applyNumberFormat="0" applyProtection="0">
      <alignment horizontal="left" vertical="center" indent="1"/>
    </xf>
    <xf numFmtId="0" fontId="24" fillId="101" borderId="76" applyNumberFormat="0" applyProtection="0">
      <alignment horizontal="left" vertical="top" indent="1"/>
    </xf>
    <xf numFmtId="0" fontId="24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105" borderId="26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4" fillId="107" borderId="76" applyNumberFormat="0" applyProtection="0">
      <alignment horizontal="left" vertical="top" indent="1"/>
    </xf>
    <xf numFmtId="4" fontId="24" fillId="83" borderId="26" applyNumberFormat="0" applyProtection="0">
      <alignment horizontal="left" vertical="center" indent="1"/>
    </xf>
    <xf numFmtId="0" fontId="3" fillId="0" borderId="0"/>
    <xf numFmtId="4" fontId="24" fillId="83" borderId="2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3" fillId="121" borderId="8" applyNumberFormat="0" applyFont="0" applyAlignment="0" applyProtection="0"/>
    <xf numFmtId="0" fontId="33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4" fillId="104" borderId="2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4" fillId="102" borderId="76" applyNumberFormat="0" applyProtection="0">
      <alignment horizontal="left" vertical="top" indent="1"/>
    </xf>
    <xf numFmtId="4" fontId="85" fillId="72" borderId="72" applyNumberFormat="0" applyProtection="0">
      <alignment vertical="center"/>
    </xf>
    <xf numFmtId="0" fontId="3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4" fillId="107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6" fillId="54" borderId="2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53" fillId="0" borderId="53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3" fillId="0" borderId="0"/>
    <xf numFmtId="4" fontId="86" fillId="67" borderId="26" applyNumberFormat="0" applyProtection="0">
      <alignment horizontal="right" vertical="center"/>
    </xf>
    <xf numFmtId="0" fontId="93" fillId="67" borderId="86">
      <protection locked="0"/>
    </xf>
    <xf numFmtId="4" fontId="24" fillId="102" borderId="26" applyNumberFormat="0" applyProtection="0">
      <alignment horizontal="right" vertical="center"/>
    </xf>
    <xf numFmtId="0" fontId="89" fillId="0" borderId="0"/>
    <xf numFmtId="0" fontId="3" fillId="106" borderId="72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79" borderId="89" applyNumberFormat="0" applyAlignment="0" applyProtection="0"/>
    <xf numFmtId="0" fontId="60" fillId="79" borderId="89" applyNumberFormat="0" applyAlignment="0" applyProtection="0"/>
    <xf numFmtId="0" fontId="73" fillId="49" borderId="89" applyNumberFormat="0" applyAlignment="0" applyProtection="0"/>
    <xf numFmtId="0" fontId="73" fillId="49" borderId="89" applyNumberForma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86" fillId="54" borderId="89" applyNumberFormat="0" applyProtection="0">
      <alignment vertical="center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86" fillId="67" borderId="89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90" fillId="109" borderId="90" applyNumberFormat="0" applyProtection="0">
      <alignment horizontal="left" vertical="center" indent="1"/>
    </xf>
    <xf numFmtId="4" fontId="92" fillId="70" borderId="89" applyNumberFormat="0" applyProtection="0">
      <alignment horizontal="right" vertical="center"/>
    </xf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" fillId="84" borderId="32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43" fillId="108" borderId="94" applyNumberFormat="0" applyFont="0" applyAlignment="0" applyProtection="0"/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43" fillId="54" borderId="32" applyNumberFormat="0" applyProtection="0">
      <alignment vertical="center"/>
    </xf>
    <xf numFmtId="4" fontId="85" fillId="54" borderId="32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3" fillId="54" borderId="32" applyNumberFormat="0" applyProtection="0">
      <alignment vertical="center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64" borderId="32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38" fillId="62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14" fillId="71" borderId="22" applyBorder="0"/>
    <xf numFmtId="4" fontId="38" fillId="69" borderId="18" applyNumberFormat="0" applyProtection="0">
      <alignment vertical="center"/>
    </xf>
    <xf numFmtId="4" fontId="43" fillId="100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100" borderId="91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99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85" fillId="54" borderId="32" applyNumberFormat="0" applyProtection="0">
      <alignment vertical="center"/>
    </xf>
    <xf numFmtId="4" fontId="43" fillId="54" borderId="32" applyNumberFormat="0" applyProtection="0">
      <alignment vertical="center"/>
    </xf>
    <xf numFmtId="4" fontId="36" fillId="54" borderId="18" applyNumberFormat="0" applyProtection="0">
      <alignment vertical="center"/>
    </xf>
    <xf numFmtId="4" fontId="43" fillId="0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1" fillId="79" borderId="32" applyNumberFormat="0" applyAlignment="0" applyProtection="0"/>
    <xf numFmtId="0" fontId="81" fillId="79" borderId="32" applyNumberFormat="0" applyAlignment="0" applyProtection="0"/>
    <xf numFmtId="4" fontId="38" fillId="64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9" fillId="8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91" fillId="100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61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43" fillId="0" borderId="32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9" fontId="95" fillId="110" borderId="86"/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135" fillId="0" borderId="87" applyFill="0" applyBorder="0" applyProtection="0">
      <alignment horizontal="left" vertical="top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14" fillId="71" borderId="22" applyBorder="0"/>
    <xf numFmtId="0" fontId="3" fillId="0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100" borderId="91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88" fillId="108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4" fontId="38" fillId="69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43" fillId="97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10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0" fontId="24" fillId="48" borderId="89" applyNumberFormat="0" applyFont="0" applyAlignment="0" applyProtection="0"/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54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4" fontId="24" fillId="0" borderId="89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143" fillId="116" borderId="93" applyNumberFormat="0" applyAlignment="0" applyProtection="0"/>
    <xf numFmtId="0" fontId="143" fillId="116" borderId="93" applyNumberFormat="0" applyAlignment="0" applyProtection="0"/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3" fillId="116" borderId="93" applyNumberFormat="0" applyAlignment="0" applyProtection="0"/>
    <xf numFmtId="0" fontId="143" fillId="116" borderId="93" applyNumberFormat="0" applyAlignment="0" applyProtection="0"/>
    <xf numFmtId="0" fontId="129" fillId="104" borderId="93" applyNumberFormat="0" applyAlignment="0" applyProtection="0"/>
    <xf numFmtId="0" fontId="129" fillId="104" borderId="93" applyNumberFormat="0" applyAlignment="0" applyProtection="0"/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4" fontId="48" fillId="68" borderId="23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9" fontId="95" fillId="110" borderId="86"/>
    <xf numFmtId="0" fontId="3" fillId="69" borderId="18" applyNumberFormat="0" applyProtection="0">
      <alignment horizontal="left" vertical="center" indent="1"/>
    </xf>
    <xf numFmtId="0" fontId="93" fillId="67" borderId="86">
      <protection locked="0"/>
    </xf>
    <xf numFmtId="0" fontId="24" fillId="102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38" fillId="63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93" fillId="67" borderId="86">
      <protection locked="0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1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9" fontId="95" fillId="110" borderId="86"/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4" fontId="36" fillId="54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88" fillId="108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93" fillId="67" borderId="86">
      <protection locked="0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88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5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57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8" fillId="56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3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143" fillId="116" borderId="93" applyNumberFormat="0" applyAlignment="0" applyProtection="0"/>
    <xf numFmtId="0" fontId="143" fillId="116" borderId="93" applyNumberFormat="0" applyAlignment="0" applyProtection="0"/>
    <xf numFmtId="0" fontId="39" fillId="54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85" fillId="72" borderId="32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36" fillId="54" borderId="18" applyNumberFormat="0" applyProtection="0">
      <alignment vertical="center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0" fontId="24" fillId="102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129" fillId="104" borderId="93" applyNumberFormat="0" applyAlignment="0" applyProtection="0"/>
    <xf numFmtId="4" fontId="43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4" borderId="32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43" fillId="100" borderId="91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9" fontId="95" fillId="110" borderId="86"/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0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39" fillId="99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94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8" fillId="64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0" borderId="91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8" fillId="54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143" fillId="116" borderId="93" applyNumberFormat="0" applyAlignment="0" applyProtection="0"/>
    <xf numFmtId="4" fontId="43" fillId="93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128" fillId="0" borderId="42" applyFill="0" applyProtection="0">
      <alignment horizontal="right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3" fillId="0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9" fontId="95" fillId="110" borderId="86"/>
    <xf numFmtId="4" fontId="43" fillId="0" borderId="18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88" fillId="10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43" fillId="116" borderId="93" applyNumberFormat="0" applyAlignment="0" applyProtection="0"/>
    <xf numFmtId="0" fontId="143" fillId="116" borderId="93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8">
      <alignment horizontal="right"/>
    </xf>
    <xf numFmtId="4" fontId="43" fillId="5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4" fontId="3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66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4" fillId="69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9" fillId="0" borderId="95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135" fillId="0" borderId="87" applyFill="0" applyBorder="0" applyProtection="0">
      <alignment horizontal="left" vertical="top"/>
    </xf>
    <xf numFmtId="0" fontId="3" fillId="68" borderId="18" applyNumberFormat="0" applyProtection="0">
      <alignment horizontal="left" vertical="top" indent="1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3" fontId="132" fillId="0" borderId="40"/>
    <xf numFmtId="0" fontId="3" fillId="68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0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81" fillId="79" borderId="32" applyNumberFormat="0" applyAlignment="0" applyProtection="0"/>
    <xf numFmtId="4" fontId="49" fillId="69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95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3" fillId="116" borderId="93" applyNumberFormat="0" applyAlignment="0" applyProtection="0"/>
    <xf numFmtId="0" fontId="143" fillId="116" borderId="93" applyNumberFormat="0" applyAlignment="0" applyProtection="0"/>
    <xf numFmtId="0" fontId="3" fillId="68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128" fillId="0" borderId="42" applyFill="0" applyProtection="0">
      <alignment horizontal="right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4" fontId="38" fillId="64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61" borderId="32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93" fillId="67" borderId="86">
      <protection locked="0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194" fontId="132" fillId="0" borderId="88">
      <alignment horizontal="right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9" fillId="0" borderId="95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9" fontId="95" fillId="110" borderId="86"/>
    <xf numFmtId="0" fontId="3" fillId="68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38" fillId="69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91" fillId="100" borderId="32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81" fillId="79" borderId="32" applyNumberFormat="0" applyAlignment="0" applyProtection="0"/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94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9" fontId="95" fillId="110" borderId="86"/>
    <xf numFmtId="4" fontId="43" fillId="54" borderId="32" applyNumberFormat="0" applyProtection="0">
      <alignment vertical="center"/>
    </xf>
    <xf numFmtId="4" fontId="43" fillId="72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9" fillId="0" borderId="95" applyNumberFormat="0" applyFill="0" applyAlignment="0" applyProtection="0"/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128" fillId="0" borderId="42" applyFill="0" applyProtection="0">
      <alignment horizontal="right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4" fontId="116" fillId="54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24" fillId="102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129" fillId="104" borderId="93" applyNumberFormat="0" applyAlignment="0" applyProtection="0"/>
    <xf numFmtId="4" fontId="116" fillId="54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0" fontId="143" fillId="116" borderId="93" applyNumberFormat="0" applyAlignment="0" applyProtection="0"/>
    <xf numFmtId="0" fontId="143" fillId="116" borderId="93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87" fillId="82" borderId="18" applyNumberFormat="0" applyProtection="0">
      <alignment horizontal="left" vertical="top" indent="1"/>
    </xf>
    <xf numFmtId="194" fontId="132" fillId="0" borderId="88">
      <alignment horizontal="right"/>
    </xf>
    <xf numFmtId="4" fontId="43" fillId="63" borderId="32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8" fillId="68" borderId="23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85" fillId="72" borderId="32" applyNumberFormat="0" applyProtection="0">
      <alignment vertical="center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55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0" fontId="93" fillId="67" borderId="86">
      <protection locked="0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8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4" fontId="48" fillId="68" borderId="23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4" fontId="88" fillId="108" borderId="18" applyNumberFormat="0" applyProtection="0">
      <alignment vertical="center"/>
    </xf>
    <xf numFmtId="0" fontId="135" fillId="0" borderId="87" applyFill="0" applyBorder="0" applyProtection="0">
      <alignment horizontal="left" vertical="top"/>
    </xf>
    <xf numFmtId="4" fontId="43" fillId="58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3" fontId="132" fillId="0" borderId="40"/>
    <xf numFmtId="0" fontId="3" fillId="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87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63" borderId="18" applyNumberFormat="0" applyProtection="0">
      <alignment horizontal="right" vertical="center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3" fillId="116" borderId="93" applyNumberFormat="0" applyAlignment="0" applyProtection="0"/>
    <xf numFmtId="0" fontId="143" fillId="116" borderId="93" applyNumberFormat="0" applyAlignment="0" applyProtection="0"/>
    <xf numFmtId="0" fontId="24" fillId="71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128" fillId="0" borderId="42" applyFill="0" applyProtection="0">
      <alignment horizontal="right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4" fontId="48" fillId="68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43" fillId="108" borderId="94" applyNumberFormat="0" applyFont="0" applyAlignment="0" applyProtection="0"/>
    <xf numFmtId="0" fontId="3" fillId="66" borderId="18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4" fontId="43" fillId="0" borderId="18" applyNumberFormat="0" applyProtection="0">
      <alignment horizontal="left" vertical="center" indent="1"/>
    </xf>
    <xf numFmtId="4" fontId="43" fillId="58" borderId="32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54" borderId="32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91" fillId="100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8" borderId="32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43" fillId="91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4" fontId="88" fillId="10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6" fillId="66" borderId="23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0" fontId="128" fillId="0" borderId="42" applyFill="0" applyProtection="0">
      <alignment horizontal="right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48" fillId="68" borderId="23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0" fontId="87" fillId="82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36" fillId="54" borderId="18" applyNumberFormat="0" applyProtection="0">
      <alignment vertical="center"/>
    </xf>
    <xf numFmtId="4" fontId="38" fillId="69" borderId="18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81" fillId="79" borderId="32" applyNumberFormat="0" applyAlignment="0" applyProtection="0"/>
    <xf numFmtId="4" fontId="43" fillId="54" borderId="32" applyNumberFormat="0" applyProtection="0">
      <alignment horizontal="left" vertical="center" indent="1"/>
    </xf>
    <xf numFmtId="4" fontId="85" fillId="54" borderId="32" applyNumberFormat="0" applyProtection="0">
      <alignment vertical="center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100" borderId="91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194" fontId="132" fillId="0" borderId="88">
      <alignment horizontal="right"/>
    </xf>
    <xf numFmtId="0" fontId="3" fillId="106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93" fillId="67" borderId="86">
      <protection locked="0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14" fillId="71" borderId="22" applyBorder="0"/>
    <xf numFmtId="4" fontId="44" fillId="69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60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6" fillId="54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24" fillId="107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129" fillId="104" borderId="93" applyNumberFormat="0" applyAlignment="0" applyProtection="0"/>
    <xf numFmtId="4" fontId="43" fillId="72" borderId="18" applyNumberFormat="0" applyProtection="0">
      <alignment vertical="center"/>
    </xf>
    <xf numFmtId="4" fontId="43" fillId="72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9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8" fillId="69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148" fillId="104" borderId="32" applyNumberFormat="0" applyAlignment="0" applyProtection="0"/>
    <xf numFmtId="4" fontId="43" fillId="0" borderId="32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194" fontId="132" fillId="0" borderId="88">
      <alignment horizontal="right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43" fillId="108" borderId="94" applyNumberFormat="0" applyFont="0" applyAlignment="0" applyProtection="0"/>
    <xf numFmtId="4" fontId="43" fillId="72" borderId="18" applyNumberFormat="0" applyProtection="0">
      <alignment horizontal="left" vertical="center" indent="1"/>
    </xf>
    <xf numFmtId="4" fontId="49" fillId="69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14" fillId="71" borderId="22" applyBorder="0"/>
    <xf numFmtId="4" fontId="38" fillId="6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38" fillId="61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81" fillId="79" borderId="32" applyNumberFormat="0" applyAlignment="0" applyProtection="0"/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0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0" borderId="32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135" fillId="0" borderId="87" applyFill="0" applyBorder="0" applyProtection="0">
      <alignment horizontal="left" vertical="top"/>
    </xf>
    <xf numFmtId="3" fontId="132" fillId="0" borderId="40"/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143" fillId="116" borderId="93" applyNumberFormat="0" applyAlignment="0" applyProtection="0"/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100" borderId="91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24" fillId="101" borderId="18" applyNumberFormat="0" applyProtection="0">
      <alignment horizontal="left" vertical="top" indent="1"/>
    </xf>
    <xf numFmtId="0" fontId="93" fillId="67" borderId="86">
      <protection locked="0"/>
    </xf>
    <xf numFmtId="49" fontId="95" fillId="110" borderId="86"/>
    <xf numFmtId="0" fontId="43" fillId="68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1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43" fillId="94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9" fillId="99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0" borderId="91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57" borderId="32" applyNumberFormat="0" applyProtection="0">
      <alignment horizontal="right" vertical="center"/>
    </xf>
    <xf numFmtId="4" fontId="43" fillId="64" borderId="32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5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72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58" borderId="32" applyNumberFormat="0" applyProtection="0">
      <alignment horizontal="right" vertical="center"/>
    </xf>
    <xf numFmtId="4" fontId="43" fillId="103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135" fillId="0" borderId="87" applyFill="0" applyBorder="0" applyProtection="0">
      <alignment horizontal="left" vertical="top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38" fillId="69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4" fontId="38" fillId="66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91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194" fontId="132" fillId="0" borderId="88">
      <alignment horizontal="right"/>
    </xf>
    <xf numFmtId="4" fontId="43" fillId="88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97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4" fontId="85" fillId="100" borderId="32" applyNumberFormat="0" applyProtection="0">
      <alignment horizontal="right" vertical="center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103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4" fontId="43" fillId="54" borderId="32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0" fontId="43" fillId="108" borderId="94" applyNumberFormat="0" applyFont="0" applyAlignment="0" applyProtection="0"/>
    <xf numFmtId="0" fontId="88" fillId="102" borderId="18" applyNumberFormat="0" applyProtection="0">
      <alignment horizontal="left" vertical="top" indent="1"/>
    </xf>
    <xf numFmtId="4" fontId="43" fillId="0" borderId="18" applyNumberFormat="0" applyProtection="0">
      <alignment horizontal="left" vertical="center" indent="1"/>
    </xf>
    <xf numFmtId="0" fontId="3" fillId="0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4" fontId="44" fillId="69" borderId="18" applyNumberFormat="0" applyProtection="0">
      <alignment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38" fillId="59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88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38" fillId="57" borderId="18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88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87" fillId="82" borderId="18" applyNumberFormat="0" applyProtection="0">
      <alignment horizontal="left" vertical="top" indent="1"/>
    </xf>
    <xf numFmtId="4" fontId="43" fillId="72" borderId="32" applyNumberFormat="0" applyProtection="0">
      <alignment vertical="center"/>
    </xf>
    <xf numFmtId="4" fontId="39" fillId="82" borderId="18" applyNumberFormat="0" applyProtection="0">
      <alignment vertical="center"/>
    </xf>
    <xf numFmtId="0" fontId="14" fillId="71" borderId="22" applyBorder="0"/>
    <xf numFmtId="4" fontId="38" fillId="69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8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24" fillId="107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8" fillId="56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38" fillId="64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0" fontId="129" fillId="104" borderId="93" applyNumberFormat="0" applyAlignment="0" applyProtection="0"/>
    <xf numFmtId="0" fontId="128" fillId="0" borderId="42" applyFill="0" applyProtection="0">
      <alignment horizontal="right"/>
    </xf>
    <xf numFmtId="0" fontId="143" fillId="116" borderId="93" applyNumberFormat="0" applyAlignment="0" applyProtection="0"/>
    <xf numFmtId="0" fontId="39" fillId="54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9" fillId="0" borderId="95" applyNumberFormat="0" applyFill="0" applyAlignment="0" applyProtection="0"/>
    <xf numFmtId="0" fontId="43" fillId="68" borderId="18" applyNumberFormat="0" applyProtection="0">
      <alignment horizontal="left" vertical="top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43" fillId="108" borderId="94" applyNumberFormat="0" applyFont="0" applyAlignment="0" applyProtection="0"/>
    <xf numFmtId="4" fontId="39" fillId="54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54" borderId="32" applyNumberFormat="0" applyProtection="0">
      <alignment vertical="center"/>
    </xf>
    <xf numFmtId="4" fontId="43" fillId="57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72" borderId="32" applyNumberFormat="0" applyProtection="0">
      <alignment vertical="center"/>
    </xf>
    <xf numFmtId="0" fontId="24" fillId="101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8" fillId="60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36" fillId="66" borderId="18" applyNumberFormat="0" applyProtection="0">
      <alignment horizontal="left" vertical="center" indent="1"/>
    </xf>
    <xf numFmtId="0" fontId="88" fillId="102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93" fillId="67" borderId="86">
      <protection locked="0"/>
    </xf>
    <xf numFmtId="4" fontId="36" fillId="66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38" fillId="58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87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43" fillId="90" borderId="18" applyNumberFormat="0" applyProtection="0">
      <alignment horizontal="right" vertical="center"/>
    </xf>
    <xf numFmtId="4" fontId="43" fillId="72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97" borderId="32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7" borderId="32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9" fillId="99" borderId="32" applyNumberFormat="0" applyProtection="0">
      <alignment horizontal="left" vertical="center" indent="1"/>
    </xf>
    <xf numFmtId="4" fontId="48" fillId="68" borderId="23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63" borderId="32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43" fillId="100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3" fillId="106" borderId="32" applyNumberFormat="0" applyProtection="0">
      <alignment horizontal="left" vertical="center" indent="1"/>
    </xf>
    <xf numFmtId="4" fontId="43" fillId="97" borderId="32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24" fillId="71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56" borderId="32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0" fontId="3" fillId="4" borderId="32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4" fontId="88" fillId="104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38" fillId="69" borderId="18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0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128" fillId="0" borderId="42" applyFill="0" applyProtection="0">
      <alignment horizontal="right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43" fillId="68" borderId="18" applyNumberFormat="0" applyProtection="0">
      <alignment horizontal="left" vertical="top" indent="1"/>
    </xf>
    <xf numFmtId="4" fontId="85" fillId="100" borderId="32" applyNumberFormat="0" applyProtection="0">
      <alignment horizontal="right" vertical="center"/>
    </xf>
    <xf numFmtId="4" fontId="43" fillId="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85" fillId="72" borderId="32" applyNumberFormat="0" applyProtection="0">
      <alignment vertical="center"/>
    </xf>
    <xf numFmtId="4" fontId="43" fillId="72" borderId="32" applyNumberFormat="0" applyProtection="0">
      <alignment vertical="center"/>
    </xf>
    <xf numFmtId="4" fontId="88" fillId="108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0" fontId="3" fillId="4" borderId="32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0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54" borderId="32" applyNumberFormat="0" applyProtection="0">
      <alignment horizontal="left" vertical="center" indent="1"/>
    </xf>
    <xf numFmtId="0" fontId="87" fillId="82" borderId="18" applyNumberFormat="0" applyProtection="0">
      <alignment horizontal="left" vertical="top" indent="1"/>
    </xf>
    <xf numFmtId="4" fontId="43" fillId="54" borderId="32" applyNumberFormat="0" applyProtection="0">
      <alignment horizontal="left" vertical="center" indent="1"/>
    </xf>
    <xf numFmtId="0" fontId="143" fillId="116" borderId="93" applyNumberFormat="0" applyAlignment="0" applyProtection="0"/>
    <xf numFmtId="0" fontId="143" fillId="116" borderId="93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8">
      <alignment horizontal="right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0" fontId="81" fillId="79" borderId="32" applyNumberFormat="0" applyAlignment="0" applyProtection="0"/>
    <xf numFmtId="0" fontId="81" fillId="79" borderId="32" applyNumberFormat="0" applyAlignment="0" applyProtection="0"/>
    <xf numFmtId="0" fontId="3" fillId="69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35" fillId="0" borderId="87" applyFill="0" applyBorder="0" applyProtection="0">
      <alignment horizontal="left" vertical="top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3" fontId="132" fillId="0" borderId="40"/>
    <xf numFmtId="0" fontId="24" fillId="101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88" fillId="104" borderId="18" applyNumberFormat="0" applyProtection="0">
      <alignment horizontal="left" vertical="center" indent="1"/>
    </xf>
    <xf numFmtId="0" fontId="3" fillId="4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3" fillId="116" borderId="93" applyNumberFormat="0" applyAlignment="0" applyProtection="0"/>
    <xf numFmtId="0" fontId="143" fillId="116" borderId="93" applyNumberFormat="0" applyAlignment="0" applyProtection="0"/>
    <xf numFmtId="4" fontId="38" fillId="61" borderId="18" applyNumberFormat="0" applyProtection="0">
      <alignment horizontal="right" vertical="center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128" fillId="0" borderId="42" applyFill="0" applyProtection="0">
      <alignment horizontal="right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59" borderId="18" applyNumberFormat="0" applyProtection="0">
      <alignment horizontal="right" vertical="center"/>
    </xf>
    <xf numFmtId="0" fontId="3" fillId="0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43" fillId="100" borderId="32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24" fillId="71" borderId="18" applyNumberFormat="0" applyProtection="0">
      <alignment horizontal="left" vertical="top" indent="1"/>
    </xf>
    <xf numFmtId="0" fontId="24" fillId="71" borderId="18" applyNumberFormat="0" applyProtection="0">
      <alignment horizontal="left" vertical="top" indent="1"/>
    </xf>
    <xf numFmtId="0" fontId="3" fillId="103" borderId="32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38" fillId="62" borderId="18" applyNumberFormat="0" applyProtection="0">
      <alignment horizontal="right" vertical="center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0" fontId="3" fillId="103" borderId="32" applyNumberFormat="0" applyProtection="0">
      <alignment horizontal="left" vertical="center" indent="1"/>
    </xf>
    <xf numFmtId="4" fontId="43" fillId="97" borderId="32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128" fillId="0" borderId="42" applyFill="0" applyProtection="0">
      <alignment horizontal="right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129" fillId="104" borderId="93" applyNumberFormat="0" applyAlignment="0" applyProtection="0"/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38" fillId="54" borderId="18" applyNumberFormat="0" applyProtection="0">
      <alignment horizontal="left" vertical="center" indent="1"/>
    </xf>
    <xf numFmtId="0" fontId="129" fillId="104" borderId="93" applyNumberFormat="0" applyAlignment="0" applyProtection="0"/>
    <xf numFmtId="0" fontId="43" fillId="72" borderId="18" applyNumberFormat="0" applyProtection="0">
      <alignment horizontal="left" vertical="top" indent="1"/>
    </xf>
    <xf numFmtId="0" fontId="129" fillId="104" borderId="93" applyNumberFormat="0" applyAlignment="0" applyProtection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24" fillId="101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24" fillId="102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24" fillId="71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0" fontId="128" fillId="0" borderId="42" applyFill="0" applyProtection="0">
      <alignment horizontal="right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43" fillId="68" borderId="18" applyNumberFormat="0" applyProtection="0">
      <alignment horizontal="left" vertical="top" indent="1"/>
    </xf>
    <xf numFmtId="0" fontId="3" fillId="0" borderId="32" applyNumberFormat="0" applyProtection="0">
      <alignment horizontal="left" vertical="center" indent="1"/>
    </xf>
    <xf numFmtId="4" fontId="36" fillId="66" borderId="18" applyNumberFormat="0" applyProtection="0">
      <alignment horizontal="left" vertical="center" indent="1"/>
    </xf>
    <xf numFmtId="4" fontId="44" fillId="69" borderId="18" applyNumberFormat="0" applyProtection="0">
      <alignment horizontal="right" vertical="center"/>
    </xf>
    <xf numFmtId="4" fontId="85" fillId="100" borderId="32" applyNumberFormat="0" applyProtection="0">
      <alignment horizontal="right" vertical="center"/>
    </xf>
    <xf numFmtId="4" fontId="43" fillId="72" borderId="32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32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85" fillId="72" borderId="32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32" applyNumberFormat="0" applyProtection="0">
      <alignment vertical="center"/>
    </xf>
    <xf numFmtId="4" fontId="91" fillId="101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24" fillId="101" borderId="18" applyNumberFormat="0" applyProtection="0">
      <alignment horizontal="left" vertical="top" indent="1"/>
    </xf>
    <xf numFmtId="0" fontId="3" fillId="84" borderId="32" applyNumberFormat="0" applyProtection="0">
      <alignment horizontal="left" vertical="center" indent="1"/>
    </xf>
    <xf numFmtId="0" fontId="24" fillId="107" borderId="18" applyNumberFormat="0" applyProtection="0">
      <alignment horizontal="left" vertical="top" indent="1"/>
    </xf>
    <xf numFmtId="0" fontId="24" fillId="102" borderId="18" applyNumberFormat="0" applyProtection="0">
      <alignment horizontal="left" vertical="top" indent="1"/>
    </xf>
    <xf numFmtId="0" fontId="3" fillId="106" borderId="32" applyNumberFormat="0" applyProtection="0">
      <alignment horizontal="left" vertical="center" indent="1"/>
    </xf>
    <xf numFmtId="0" fontId="3" fillId="106" borderId="32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43" fillId="63" borderId="32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93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43" fillId="91" borderId="32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61" borderId="32" applyNumberFormat="0" applyProtection="0">
      <alignment horizontal="right" vertical="center"/>
    </xf>
    <xf numFmtId="4" fontId="43" fillId="56" borderId="32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4" fontId="43" fillId="57" borderId="32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0" fontId="143" fillId="116" borderId="93" applyNumberFormat="0" applyAlignment="0" applyProtection="0"/>
    <xf numFmtId="0" fontId="143" fillId="116" borderId="93" applyNumberFormat="0" applyAlignment="0" applyProtection="0"/>
    <xf numFmtId="4" fontId="43" fillId="54" borderId="32" applyNumberFormat="0" applyProtection="0">
      <alignment horizontal="left" vertical="center" indent="1"/>
    </xf>
    <xf numFmtId="194" fontId="132" fillId="0" borderId="88">
      <alignment horizontal="right"/>
    </xf>
    <xf numFmtId="4" fontId="43" fillId="54" borderId="32" applyNumberFormat="0" applyProtection="0">
      <alignment horizontal="left" vertical="center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43" fillId="54" borderId="32" applyNumberFormat="0" applyProtection="0">
      <alignment vertical="center"/>
    </xf>
    <xf numFmtId="0" fontId="39" fillId="54" borderId="18" applyNumberFormat="0" applyProtection="0">
      <alignment horizontal="left" vertical="top" indent="1"/>
    </xf>
    <xf numFmtId="4" fontId="38" fillId="58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0" fontId="81" fillId="79" borderId="32" applyNumberFormat="0" applyAlignment="0" applyProtection="0"/>
    <xf numFmtId="0" fontId="81" fillId="79" borderId="32" applyNumberFormat="0" applyAlignment="0" applyProtection="0"/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93" fillId="67" borderId="86">
      <protection locked="0"/>
    </xf>
    <xf numFmtId="49" fontId="95" fillId="110" borderId="86"/>
    <xf numFmtId="0" fontId="135" fillId="0" borderId="87" applyFill="0" applyBorder="0" applyProtection="0">
      <alignment horizontal="left" vertical="top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3" fontId="132" fillId="0" borderId="40"/>
    <xf numFmtId="4" fontId="43" fillId="87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116" fillId="54" borderId="18" applyNumberFormat="0" applyProtection="0">
      <alignment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88" fillId="102" borderId="18" applyNumberFormat="0" applyProtection="0">
      <alignment horizontal="left" vertical="top" indent="1"/>
    </xf>
    <xf numFmtId="0" fontId="88" fillId="108" borderId="18" applyNumberFormat="0" applyProtection="0">
      <alignment horizontal="left" vertical="top" indent="1"/>
    </xf>
    <xf numFmtId="0" fontId="24" fillId="107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9" fillId="69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4" fillId="69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4" fillId="69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58" borderId="32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7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84" borderId="32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3" fillId="63" borderId="32" applyNumberFormat="0" applyProtection="0">
      <alignment horizontal="right" vertical="center"/>
    </xf>
    <xf numFmtId="0" fontId="43" fillId="108" borderId="94" applyNumberFormat="0" applyFont="0" applyAlignment="0" applyProtection="0"/>
    <xf numFmtId="0" fontId="43" fillId="108" borderId="94" applyNumberFormat="0" applyFont="0" applyAlignment="0" applyProtection="0"/>
    <xf numFmtId="0" fontId="143" fillId="116" borderId="93" applyNumberFormat="0" applyAlignment="0" applyProtection="0"/>
    <xf numFmtId="0" fontId="143" fillId="116" borderId="93" applyNumberFormat="0" applyAlignment="0" applyProtection="0"/>
    <xf numFmtId="4" fontId="43" fillId="54" borderId="32" applyNumberFormat="0" applyProtection="0">
      <alignment horizontal="left" vertical="center" indent="1"/>
    </xf>
    <xf numFmtId="4" fontId="43" fillId="93" borderId="32" applyNumberFormat="0" applyProtection="0">
      <alignment horizontal="right" vertical="center"/>
    </xf>
    <xf numFmtId="0" fontId="129" fillId="104" borderId="93" applyNumberFormat="0" applyAlignment="0" applyProtection="0"/>
    <xf numFmtId="0" fontId="129" fillId="104" borderId="93" applyNumberFormat="0" applyAlignment="0" applyProtection="0"/>
    <xf numFmtId="0" fontId="128" fillId="0" borderId="42" applyFill="0" applyProtection="0">
      <alignment horizontal="right"/>
    </xf>
    <xf numFmtId="4" fontId="43" fillId="64" borderId="32" applyNumberFormat="0" applyProtection="0">
      <alignment horizontal="right" vertical="center"/>
    </xf>
    <xf numFmtId="4" fontId="49" fillId="69" borderId="18" applyNumberFormat="0" applyProtection="0">
      <alignment horizontal="right" vertical="center"/>
    </xf>
    <xf numFmtId="4" fontId="48" fillId="68" borderId="23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4" fontId="44" fillId="69" borderId="18" applyNumberFormat="0" applyProtection="0">
      <alignment horizontal="right" vertical="center"/>
    </xf>
    <xf numFmtId="4" fontId="38" fillId="69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36" fillId="66" borderId="23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4" fontId="38" fillId="62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59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8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8" fillId="54" borderId="18" applyNumberFormat="0" applyProtection="0">
      <alignment horizontal="left" vertical="center" indent="1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0" fontId="3" fillId="84" borderId="32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64" borderId="32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0" fontId="3" fillId="84" borderId="32" applyNumberFormat="0" applyProtection="0">
      <alignment horizontal="left" vertical="center" indent="1"/>
    </xf>
    <xf numFmtId="0" fontId="3" fillId="84" borderId="32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194" fontId="132" fillId="0" borderId="88">
      <alignment horizontal="right"/>
    </xf>
    <xf numFmtId="0" fontId="3" fillId="66" borderId="18" applyNumberFormat="0" applyProtection="0">
      <alignment horizontal="left" vertical="center" indent="1"/>
    </xf>
    <xf numFmtId="0" fontId="143" fillId="116" borderId="93" applyNumberFormat="0" applyAlignment="0" applyProtection="0"/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135" fillId="0" borderId="87" applyFill="0" applyBorder="0" applyProtection="0">
      <alignment horizontal="left" vertical="top"/>
    </xf>
    <xf numFmtId="4" fontId="43" fillId="92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194" fontId="132" fillId="0" borderId="88">
      <alignment horizontal="right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0" fontId="39" fillId="54" borderId="18" applyNumberFormat="0" applyProtection="0">
      <alignment horizontal="left" vertical="top" indent="1"/>
    </xf>
    <xf numFmtId="4" fontId="39" fillId="54" borderId="18" applyNumberFormat="0" applyProtection="0">
      <alignment horizontal="left" vertical="center" indent="1"/>
    </xf>
    <xf numFmtId="0" fontId="148" fillId="104" borderId="32" applyNumberFormat="0" applyAlignment="0" applyProtection="0"/>
    <xf numFmtId="0" fontId="148" fillId="104" borderId="32" applyNumberFormat="0" applyAlignment="0" applyProtection="0"/>
    <xf numFmtId="4" fontId="39" fillId="54" borderId="18" applyNumberFormat="0" applyProtection="0">
      <alignment horizontal="left" vertical="center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43" fillId="108" borderId="94" applyNumberFormat="0" applyFont="0" applyAlignment="0" applyProtection="0"/>
    <xf numFmtId="0" fontId="143" fillId="116" borderId="93" applyNumberFormat="0" applyAlignment="0" applyProtection="0"/>
    <xf numFmtId="4" fontId="44" fillId="69" borderId="18" applyNumberFormat="0" applyProtection="0">
      <alignment horizontal="right" vertical="center"/>
    </xf>
    <xf numFmtId="4" fontId="36" fillId="66" borderId="23" applyNumberFormat="0" applyProtection="0">
      <alignment horizontal="left" vertical="center" indent="1"/>
    </xf>
    <xf numFmtId="4" fontId="38" fillId="69" borderId="18" applyNumberFormat="0" applyProtection="0">
      <alignment vertical="center"/>
    </xf>
    <xf numFmtId="0" fontId="14" fillId="71" borderId="22" applyBorder="0"/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4" fontId="38" fillId="6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38" fillId="57" borderId="18" applyNumberFormat="0" applyProtection="0">
      <alignment horizontal="right" vertical="center"/>
    </xf>
    <xf numFmtId="4" fontId="38" fillId="56" borderId="18" applyNumberFormat="0" applyProtection="0">
      <alignment horizontal="right" vertical="center"/>
    </xf>
    <xf numFmtId="4" fontId="37" fillId="54" borderId="18" applyNumberFormat="0" applyProtection="0">
      <alignment vertical="center"/>
    </xf>
    <xf numFmtId="4" fontId="36" fillId="54" borderId="18" applyNumberFormat="0" applyProtection="0">
      <alignment vertical="center"/>
    </xf>
    <xf numFmtId="0" fontId="39" fillId="0" borderId="95" applyNumberFormat="0" applyFill="0" applyAlignment="0" applyProtection="0"/>
    <xf numFmtId="0" fontId="39" fillId="0" borderId="95" applyNumberFormat="0" applyFill="0" applyAlignment="0" applyProtection="0"/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8" borderId="18" applyNumberFormat="0" applyProtection="0">
      <alignment horizontal="left" vertical="top" indent="1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39" fillId="82" borderId="18" applyNumberFormat="0" applyProtection="0">
      <alignment vertical="center"/>
    </xf>
    <xf numFmtId="4" fontId="116" fillId="54" borderId="18" applyNumberFormat="0" applyProtection="0">
      <alignment vertical="center"/>
    </xf>
    <xf numFmtId="3" fontId="132" fillId="0" borderId="40"/>
    <xf numFmtId="4" fontId="116" fillId="54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0" fontId="39" fillId="54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135" fillId="0" borderId="87" applyFill="0" applyBorder="0" applyProtection="0">
      <alignment horizontal="left" vertical="top"/>
    </xf>
    <xf numFmtId="0" fontId="39" fillId="0" borderId="95" applyNumberFormat="0" applyFill="0" applyAlignment="0" applyProtection="0"/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91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4" fillId="69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38" fillId="6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4" fontId="43" fillId="95" borderId="18" applyNumberFormat="0" applyProtection="0">
      <alignment horizontal="right" vertical="center"/>
    </xf>
    <xf numFmtId="4" fontId="38" fillId="6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38" fillId="60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4" fontId="38" fillId="5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85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6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43" fillId="94" borderId="18" applyNumberFormat="0" applyProtection="0">
      <alignment horizontal="right" vertical="center"/>
    </xf>
    <xf numFmtId="0" fontId="129" fillId="104" borderId="93" applyNumberFormat="0" applyAlignment="0" applyProtection="0"/>
    <xf numFmtId="0" fontId="3" fillId="66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43" fillId="108" borderId="94" applyNumberFormat="0" applyFont="0" applyAlignment="0" applyProtection="0"/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90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3" fontId="132" fillId="0" borderId="40"/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90" borderId="18" applyNumberFormat="0" applyProtection="0">
      <alignment horizontal="right" vertical="center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4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35" fillId="0" borderId="87" applyFill="0" applyBorder="0" applyProtection="0">
      <alignment horizontal="left" vertical="top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3" fontId="132" fillId="0" borderId="40"/>
    <xf numFmtId="0" fontId="43" fillId="72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8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43" fillId="72" borderId="18" applyNumberFormat="0" applyProtection="0">
      <alignment horizontal="left" vertical="top" indent="1"/>
    </xf>
    <xf numFmtId="0" fontId="43" fillId="72" borderId="18" applyNumberFormat="0" applyProtection="0">
      <alignment horizontal="left" vertical="top" indent="1"/>
    </xf>
    <xf numFmtId="4" fontId="116" fillId="54" borderId="18" applyNumberFormat="0" applyProtection="0">
      <alignment vertical="center"/>
    </xf>
    <xf numFmtId="4" fontId="116" fillId="54" borderId="18" applyNumberFormat="0" applyProtection="0">
      <alignment vertical="center"/>
    </xf>
    <xf numFmtId="4" fontId="39" fillId="82" borderId="18" applyNumberFormat="0" applyProtection="0">
      <alignment vertical="center"/>
    </xf>
    <xf numFmtId="0" fontId="3" fillId="69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148" fillId="104" borderId="32" applyNumberFormat="0" applyAlignment="0" applyProtection="0"/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4" fontId="43" fillId="102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49" fontId="95" fillId="110" borderId="86"/>
    <xf numFmtId="0" fontId="93" fillId="67" borderId="86">
      <protection locked="0"/>
    </xf>
    <xf numFmtId="0" fontId="3" fillId="55" borderId="18" applyNumberFormat="0" applyProtection="0">
      <alignment horizontal="left" vertical="top" indent="1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5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7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8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89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38" fillId="61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0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2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38" fillId="63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4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5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38" fillId="6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96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4" fontId="43" fillId="102" borderId="18" applyNumberFormat="0" applyProtection="0">
      <alignment horizontal="right" vertical="center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38" fillId="69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36" fillId="66" borderId="23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4" fontId="43" fillId="72" borderId="18" applyNumberFormat="0" applyProtection="0">
      <alignment horizontal="left" vertical="center" indent="1"/>
    </xf>
    <xf numFmtId="0" fontId="43" fillId="72" borderId="18" applyNumberFormat="0" applyProtection="0">
      <alignment horizontal="left" vertical="top" indent="1"/>
    </xf>
    <xf numFmtId="4" fontId="43" fillId="72" borderId="18" applyNumberFormat="0" applyProtection="0">
      <alignment horizontal="left" vertical="center" indent="1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43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4" fontId="43" fillId="102" borderId="18" applyNumberFormat="0" applyProtection="0">
      <alignment horizontal="left" vertical="center" indent="1"/>
    </xf>
    <xf numFmtId="0" fontId="39" fillId="0" borderId="95" applyNumberFormat="0" applyFill="0" applyAlignment="0" applyProtection="0"/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6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4" fontId="43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left" vertical="center" indent="1"/>
    </xf>
    <xf numFmtId="4" fontId="43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4" fontId="39" fillId="54" borderId="18" applyNumberFormat="0" applyProtection="0">
      <alignment horizontal="left" vertical="center" indent="1"/>
    </xf>
    <xf numFmtId="0" fontId="39" fillId="54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39" fillId="54" borderId="18" applyNumberFormat="0" applyProtection="0">
      <alignment horizontal="left" vertical="center" indent="1"/>
    </xf>
    <xf numFmtId="0" fontId="3" fillId="55" borderId="18" applyNumberFormat="0" applyProtection="0">
      <alignment horizontal="left" vertical="top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4" fontId="43" fillId="95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0" fontId="3" fillId="66" borderId="18" applyNumberFormat="0" applyProtection="0">
      <alignment horizontal="left" vertical="center" indent="1"/>
    </xf>
    <xf numFmtId="4" fontId="85" fillId="101" borderId="18" applyNumberFormat="0" applyProtection="0">
      <alignment horizontal="right" vertical="center"/>
    </xf>
    <xf numFmtId="0" fontId="3" fillId="55" borderId="18" applyNumberFormat="0" applyProtection="0">
      <alignment horizontal="left" vertical="top" indent="1"/>
    </xf>
    <xf numFmtId="0" fontId="3" fillId="55" borderId="18" applyNumberFormat="0" applyProtection="0">
      <alignment horizontal="left" vertical="top" indent="1"/>
    </xf>
    <xf numFmtId="4" fontId="85" fillId="101" borderId="18" applyNumberFormat="0" applyProtection="0">
      <alignment horizontal="right" vertical="center"/>
    </xf>
    <xf numFmtId="4" fontId="85" fillId="101" borderId="18" applyNumberFormat="0" applyProtection="0">
      <alignment horizontal="right" vertical="center"/>
    </xf>
    <xf numFmtId="0" fontId="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0" fontId="43" fillId="68" borderId="18" applyNumberFormat="0" applyProtection="0">
      <alignment horizontal="left" vertical="top" indent="1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91" fillId="101" borderId="18" applyNumberFormat="0" applyProtection="0">
      <alignment horizontal="right" vertical="center"/>
    </xf>
    <xf numFmtId="4" fontId="36" fillId="66" borderId="18" applyNumberFormat="0" applyProtection="0">
      <alignment horizontal="left" vertical="center" indent="1"/>
    </xf>
    <xf numFmtId="0" fontId="3" fillId="68" borderId="18" applyNumberFormat="0" applyProtection="0">
      <alignment horizontal="left" vertical="top" indent="1"/>
    </xf>
    <xf numFmtId="0" fontId="3" fillId="66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center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43" fillId="102" borderId="18" applyNumberFormat="0" applyProtection="0">
      <alignment horizontal="left" vertical="center" indent="1"/>
    </xf>
    <xf numFmtId="0" fontId="143" fillId="116" borderId="93" applyNumberFormat="0" applyAlignment="0" applyProtection="0"/>
    <xf numFmtId="0" fontId="43" fillId="108" borderId="94" applyNumberFormat="0" applyFont="0" applyAlignment="0" applyProtection="0"/>
    <xf numFmtId="0" fontId="3" fillId="69" borderId="18" applyNumberFormat="0" applyProtection="0">
      <alignment horizontal="left" vertical="top" indent="1"/>
    </xf>
    <xf numFmtId="4" fontId="38" fillId="66" borderId="18" applyNumberFormat="0" applyProtection="0">
      <alignment horizontal="right" vertical="center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4" fontId="43" fillId="102" borderId="18" applyNumberFormat="0" applyProtection="0">
      <alignment horizontal="right" vertical="center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0" fontId="3" fillId="69" borderId="18" applyNumberFormat="0" applyProtection="0">
      <alignment horizontal="left" vertical="top" indent="1"/>
    </xf>
    <xf numFmtId="4" fontId="85" fillId="72" borderId="18" applyNumberFormat="0" applyProtection="0">
      <alignment vertical="center"/>
    </xf>
    <xf numFmtId="4" fontId="43" fillId="72" borderId="18" applyNumberFormat="0" applyProtection="0">
      <alignment horizontal="left" vertical="center" indent="1"/>
    </xf>
    <xf numFmtId="4" fontId="85" fillId="72" borderId="18" applyNumberFormat="0" applyProtection="0">
      <alignment vertical="center"/>
    </xf>
    <xf numFmtId="4" fontId="85" fillId="72" borderId="18" applyNumberFormat="0" applyProtection="0">
      <alignment vertical="center"/>
    </xf>
    <xf numFmtId="0" fontId="3" fillId="69" borderId="18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4" fillId="92" borderId="89" applyNumberFormat="0" applyProtection="0">
      <alignment horizontal="right" vertical="center"/>
    </xf>
    <xf numFmtId="4" fontId="24" fillId="98" borderId="90" applyNumberFormat="0" applyProtection="0">
      <alignment horizontal="left" vertical="center" indent="1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0" fontId="24" fillId="107" borderId="89" applyNumberFormat="0" applyProtection="0">
      <alignment horizontal="left" vertical="center" indent="1"/>
    </xf>
    <xf numFmtId="4" fontId="24" fillId="0" borderId="89" applyNumberFormat="0" applyProtection="0">
      <alignment horizontal="right" vertical="center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2" borderId="89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82" borderId="89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4" fontId="92" fillId="70" borderId="89" applyNumberFormat="0" applyProtection="0">
      <alignment horizontal="right" vertical="center"/>
    </xf>
    <xf numFmtId="4" fontId="90" fillId="109" borderId="90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86" fillId="67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4" fontId="24" fillId="0" borderId="89" applyNumberFormat="0" applyProtection="0">
      <alignment horizontal="right" vertical="center"/>
    </xf>
    <xf numFmtId="0" fontId="33" fillId="78" borderId="0" applyNumberFormat="0" applyBorder="0" applyAlignment="0" applyProtection="0"/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60" fillId="79" borderId="89" applyNumberFormat="0" applyAlignment="0" applyProtection="0"/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4" fillId="104" borderId="89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0" fontId="67" fillId="0" borderId="28" applyNumberFormat="0" applyFill="0" applyAlignment="0" applyProtection="0"/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0" fontId="69" fillId="0" borderId="29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9" applyNumberFormat="0" applyAlignment="0" applyProtection="0"/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0" fontId="75" fillId="0" borderId="31" applyNumberFormat="0" applyFill="0" applyAlignment="0" applyProtection="0"/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0" fontId="3" fillId="0" borderId="0"/>
    <xf numFmtId="4" fontId="24" fillId="98" borderId="90" applyNumberFormat="0" applyProtection="0">
      <alignment horizontal="left" vertical="center" indent="1"/>
    </xf>
    <xf numFmtId="4" fontId="24" fillId="96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0" fontId="24" fillId="48" borderId="89" applyNumberFormat="0" applyFont="0" applyAlignment="0" applyProtection="0"/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0" fontId="84" fillId="0" borderId="65">
      <alignment horizont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86" fillId="54" borderId="89" applyNumberFormat="0" applyProtection="0">
      <alignment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86" fillId="54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73" fillId="49" borderId="89" applyNumberFormat="0" applyAlignment="0" applyProtection="0"/>
    <xf numFmtId="0" fontId="73" fillId="49" borderId="89" applyNumberFormat="0" applyAlignment="0" applyProtection="0"/>
    <xf numFmtId="0" fontId="60" fillId="79" borderId="89" applyNumberFormat="0" applyAlignment="0" applyProtection="0"/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86" fillId="67" borderId="89" applyNumberFormat="0" applyProtection="0">
      <alignment horizontal="right" vertical="center"/>
    </xf>
    <xf numFmtId="4" fontId="90" fillId="109" borderId="90" applyNumberFormat="0" applyProtection="0">
      <alignment horizontal="left" vertical="center" indent="1"/>
    </xf>
    <xf numFmtId="4" fontId="92" fillId="70" borderId="89" applyNumberFormat="0" applyProtection="0">
      <alignment horizontal="right" vertical="center"/>
    </xf>
    <xf numFmtId="0" fontId="35" fillId="0" borderId="92" applyNumberFormat="0" applyFill="0" applyAlignment="0" applyProtection="0"/>
    <xf numFmtId="0" fontId="98" fillId="0" borderId="0" applyNumberFormat="0" applyFill="0" applyBorder="0" applyAlignment="0" applyProtection="0"/>
    <xf numFmtId="0" fontId="24" fillId="104" borderId="89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4" fillId="0" borderId="89" applyNumberFormat="0" applyProtection="0">
      <alignment horizontal="right" vertical="center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4" fillId="102" borderId="9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3" fillId="71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4" fontId="24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8" borderId="9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0" fontId="2" fillId="0" borderId="0"/>
    <xf numFmtId="4" fontId="24" fillId="96" borderId="89" applyNumberFormat="0" applyProtection="0">
      <alignment horizontal="right" vertical="center"/>
    </xf>
    <xf numFmtId="0" fontId="2" fillId="0" borderId="0"/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54" borderId="89" applyNumberFormat="0" applyProtection="0">
      <alignment horizontal="left" vertical="center" indent="1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24" fillId="48" borderId="89" applyNumberFormat="0" applyFont="0" applyAlignment="0" applyProtection="0"/>
    <xf numFmtId="0" fontId="60" fillId="79" borderId="89" applyNumberFormat="0" applyAlignment="0" applyProtection="0"/>
    <xf numFmtId="194" fontId="132" fillId="0" borderId="4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48" borderId="89" applyNumberFormat="0" applyFont="0" applyAlignment="0" applyProtection="0"/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82" borderId="89" applyNumberFormat="0" applyProtection="0">
      <alignment vertical="center"/>
    </xf>
    <xf numFmtId="4" fontId="24" fillId="54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5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6" borderId="89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8" borderId="90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89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0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2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4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5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6" borderId="89" applyNumberFormat="0" applyProtection="0">
      <alignment horizontal="right" vertical="center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98" borderId="90" applyNumberFormat="0" applyProtection="0">
      <alignment horizontal="left" vertical="center" indent="1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2" borderId="89" applyNumberFormat="0" applyProtection="0">
      <alignment horizontal="right" vertical="center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4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4" fontId="24" fillId="0" borderId="89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0" fontId="84" fillId="0" borderId="65">
      <alignment horizontal="center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0" fontId="135" fillId="0" borderId="2" applyFill="0" applyBorder="0" applyProtection="0">
      <alignment horizontal="left" vertical="top"/>
    </xf>
    <xf numFmtId="8" fontId="3" fillId="0" borderId="96" applyFont="0" applyFill="0" applyBorder="0" applyProtection="0">
      <alignment horizontal="right"/>
    </xf>
    <xf numFmtId="0" fontId="144" fillId="0" borderId="65">
      <alignment horizontal="right"/>
    </xf>
    <xf numFmtId="0" fontId="144" fillId="0" borderId="65">
      <alignment horizontal="left"/>
    </xf>
    <xf numFmtId="0" fontId="84" fillId="0" borderId="65">
      <alignment horizontal="center"/>
    </xf>
    <xf numFmtId="0" fontId="144" fillId="0" borderId="65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6" fillId="54" borderId="89" applyNumberFormat="0" applyProtection="0">
      <alignment vertical="center"/>
    </xf>
    <xf numFmtId="4" fontId="24" fillId="83" borderId="89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3" fillId="71" borderId="90" applyNumberFormat="0" applyProtection="0">
      <alignment horizontal="left" vertical="center" indent="1"/>
    </xf>
    <xf numFmtId="4" fontId="24" fillId="101" borderId="90" applyNumberFormat="0" applyProtection="0">
      <alignment horizontal="left" vertical="center" indent="1"/>
    </xf>
    <xf numFmtId="4" fontId="24" fillId="102" borderId="90" applyNumberFormat="0" applyProtection="0">
      <alignment horizontal="left" vertical="center" indent="1"/>
    </xf>
    <xf numFmtId="4" fontId="86" fillId="67" borderId="89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4" fontId="92" fillId="70" borderId="89" applyNumberFormat="0" applyProtection="0">
      <alignment horizontal="right" vertical="center"/>
    </xf>
    <xf numFmtId="4" fontId="24" fillId="83" borderId="89" applyNumberFormat="0" applyProtection="0">
      <alignment horizontal="left" vertical="center" indent="1"/>
    </xf>
    <xf numFmtId="4" fontId="24" fillId="102" borderId="89" applyNumberFormat="0" applyProtection="0">
      <alignment horizontal="right" vertical="center"/>
    </xf>
    <xf numFmtId="0" fontId="24" fillId="104" borderId="89" applyNumberFormat="0" applyProtection="0">
      <alignment horizontal="left" vertical="center" indent="1"/>
    </xf>
    <xf numFmtId="0" fontId="24" fillId="105" borderId="89" applyNumberFormat="0" applyProtection="0">
      <alignment horizontal="left" vertical="center" indent="1"/>
    </xf>
    <xf numFmtId="0" fontId="24" fillId="107" borderId="89" applyNumberFormat="0" applyProtection="0">
      <alignment horizontal="left" vertical="center" indent="1"/>
    </xf>
    <xf numFmtId="0" fontId="24" fillId="101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4" fontId="24" fillId="83" borderId="89" applyNumberFormat="0" applyProtection="0">
      <alignment horizontal="left" vertical="center" indent="1"/>
    </xf>
    <xf numFmtId="0" fontId="24" fillId="70" borderId="102" applyNumberFormat="0">
      <protection locked="0"/>
    </xf>
    <xf numFmtId="4" fontId="36" fillId="65" borderId="10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1" fillId="79" borderId="103" applyNumberFormat="0" applyAlignment="0" applyProtection="0"/>
    <xf numFmtId="4" fontId="43" fillId="54" borderId="103" applyNumberFormat="0" applyProtection="0">
      <alignment vertical="center"/>
    </xf>
    <xf numFmtId="4" fontId="43" fillId="54" borderId="103" applyNumberFormat="0" applyProtection="0">
      <alignment vertical="center"/>
    </xf>
    <xf numFmtId="4" fontId="43" fillId="54" borderId="103" applyNumberFormat="0" applyProtection="0">
      <alignment vertical="center"/>
    </xf>
    <xf numFmtId="4" fontId="85" fillId="54" borderId="103" applyNumberFormat="0" applyProtection="0">
      <alignment vertical="center"/>
    </xf>
    <xf numFmtId="4" fontId="43" fillId="54" borderId="103" applyNumberFormat="0" applyProtection="0">
      <alignment horizontal="left" vertical="center" indent="1"/>
    </xf>
    <xf numFmtId="4" fontId="43" fillId="54" borderId="103" applyNumberFormat="0" applyProtection="0">
      <alignment horizontal="left" vertical="center" indent="1"/>
    </xf>
    <xf numFmtId="4" fontId="43" fillId="54" borderId="103" applyNumberFormat="0" applyProtection="0">
      <alignment horizontal="left" vertical="center" indent="1"/>
    </xf>
    <xf numFmtId="4" fontId="43" fillId="54" borderId="103" applyNumberFormat="0" applyProtection="0">
      <alignment horizontal="left" vertical="center" indent="1"/>
    </xf>
    <xf numFmtId="4" fontId="43" fillId="54" borderId="103" applyNumberFormat="0" applyProtection="0">
      <alignment horizontal="left" vertical="center" indent="1"/>
    </xf>
    <xf numFmtId="4" fontId="43" fillId="5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4" fontId="43" fillId="57" borderId="103" applyNumberFormat="0" applyProtection="0">
      <alignment horizontal="right" vertical="center"/>
    </xf>
    <xf numFmtId="4" fontId="43" fillId="57" borderId="103" applyNumberFormat="0" applyProtection="0">
      <alignment horizontal="right" vertical="center"/>
    </xf>
    <xf numFmtId="4" fontId="43" fillId="57" borderId="103" applyNumberFormat="0" applyProtection="0">
      <alignment horizontal="right" vertical="center"/>
    </xf>
    <xf numFmtId="4" fontId="43" fillId="58" borderId="103" applyNumberFormat="0" applyProtection="0">
      <alignment horizontal="right" vertical="center"/>
    </xf>
    <xf numFmtId="4" fontId="43" fillId="58" borderId="103" applyNumberFormat="0" applyProtection="0">
      <alignment horizontal="right" vertical="center"/>
    </xf>
    <xf numFmtId="4" fontId="43" fillId="58" borderId="103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43" fillId="56" borderId="103" applyNumberFormat="0" applyProtection="0">
      <alignment horizontal="right" vertical="center"/>
    </xf>
    <xf numFmtId="4" fontId="43" fillId="56" borderId="103" applyNumberFormat="0" applyProtection="0">
      <alignment horizontal="right" vertical="center"/>
    </xf>
    <xf numFmtId="4" fontId="43" fillId="56" borderId="103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24" fillId="88" borderId="104" applyNumberFormat="0" applyProtection="0">
      <alignment horizontal="right" vertical="center"/>
    </xf>
    <xf numFmtId="4" fontId="43" fillId="61" borderId="103" applyNumberFormat="0" applyProtection="0">
      <alignment horizontal="right" vertical="center"/>
    </xf>
    <xf numFmtId="4" fontId="43" fillId="61" borderId="103" applyNumberFormat="0" applyProtection="0">
      <alignment horizontal="right" vertical="center"/>
    </xf>
    <xf numFmtId="4" fontId="43" fillId="61" borderId="103" applyNumberFormat="0" applyProtection="0">
      <alignment horizontal="right" vertical="center"/>
    </xf>
    <xf numFmtId="4" fontId="43" fillId="91" borderId="103" applyNumberFormat="0" applyProtection="0">
      <alignment horizontal="right" vertical="center"/>
    </xf>
    <xf numFmtId="4" fontId="43" fillId="91" borderId="103" applyNumberFormat="0" applyProtection="0">
      <alignment horizontal="right" vertical="center"/>
    </xf>
    <xf numFmtId="4" fontId="43" fillId="91" borderId="103" applyNumberFormat="0" applyProtection="0">
      <alignment horizontal="right" vertical="center"/>
    </xf>
    <xf numFmtId="4" fontId="43" fillId="93" borderId="103" applyNumberFormat="0" applyProtection="0">
      <alignment horizontal="right" vertical="center"/>
    </xf>
    <xf numFmtId="4" fontId="43" fillId="93" borderId="103" applyNumberFormat="0" applyProtection="0">
      <alignment horizontal="right" vertical="center"/>
    </xf>
    <xf numFmtId="4" fontId="43" fillId="93" borderId="103" applyNumberFormat="0" applyProtection="0">
      <alignment horizontal="right" vertical="center"/>
    </xf>
    <xf numFmtId="4" fontId="43" fillId="64" borderId="103" applyNumberFormat="0" applyProtection="0">
      <alignment horizontal="right" vertical="center"/>
    </xf>
    <xf numFmtId="4" fontId="43" fillId="64" borderId="103" applyNumberFormat="0" applyProtection="0">
      <alignment horizontal="right" vertical="center"/>
    </xf>
    <xf numFmtId="4" fontId="43" fillId="64" borderId="103" applyNumberFormat="0" applyProtection="0">
      <alignment horizontal="right" vertical="center"/>
    </xf>
    <xf numFmtId="4" fontId="43" fillId="63" borderId="103" applyNumberFormat="0" applyProtection="0">
      <alignment horizontal="right" vertical="center"/>
    </xf>
    <xf numFmtId="4" fontId="43" fillId="63" borderId="103" applyNumberFormat="0" applyProtection="0">
      <alignment horizontal="right" vertical="center"/>
    </xf>
    <xf numFmtId="4" fontId="43" fillId="63" borderId="103" applyNumberFormat="0" applyProtection="0">
      <alignment horizontal="right" vertical="center"/>
    </xf>
    <xf numFmtId="4" fontId="43" fillId="97" borderId="103" applyNumberFormat="0" applyProtection="0">
      <alignment horizontal="right" vertical="center"/>
    </xf>
    <xf numFmtId="4" fontId="43" fillId="97" borderId="103" applyNumberFormat="0" applyProtection="0">
      <alignment horizontal="right" vertical="center"/>
    </xf>
    <xf numFmtId="4" fontId="43" fillId="97" borderId="103" applyNumberFormat="0" applyProtection="0">
      <alignment horizontal="right" vertical="center"/>
    </xf>
    <xf numFmtId="4" fontId="39" fillId="99" borderId="103" applyNumberFormat="0" applyProtection="0">
      <alignment horizontal="left" vertical="center" indent="1"/>
    </xf>
    <xf numFmtId="4" fontId="39" fillId="98" borderId="101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36" fillId="65" borderId="101" applyNumberFormat="0" applyProtection="0">
      <alignment horizontal="left" vertical="center" indent="1"/>
    </xf>
    <xf numFmtId="4" fontId="24" fillId="98" borderId="104" applyNumberFormat="0" applyProtection="0">
      <alignment horizontal="left" vertical="center" indent="1"/>
    </xf>
    <xf numFmtId="4" fontId="43" fillId="100" borderId="105" applyNumberFormat="0" applyProtection="0">
      <alignment horizontal="left" vertical="center" indent="1"/>
    </xf>
    <xf numFmtId="4" fontId="43" fillId="100" borderId="105" applyNumberFormat="0" applyProtection="0">
      <alignment horizontal="left" vertical="center" indent="1"/>
    </xf>
    <xf numFmtId="4" fontId="43" fillId="100" borderId="105" applyNumberFormat="0" applyProtection="0">
      <alignment horizontal="left" vertical="center" indent="1"/>
    </xf>
    <xf numFmtId="4" fontId="3" fillId="71" borderId="104" applyNumberFormat="0" applyProtection="0">
      <alignment horizontal="left" vertical="center" indent="1"/>
    </xf>
    <xf numFmtId="4" fontId="3" fillId="71" borderId="104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43" fillId="100" borderId="103" applyNumberFormat="0" applyProtection="0">
      <alignment horizontal="left" vertical="center" indent="1"/>
    </xf>
    <xf numFmtId="4" fontId="43" fillId="100" borderId="103" applyNumberFormat="0" applyProtection="0">
      <alignment horizontal="left" vertical="center" indent="1"/>
    </xf>
    <xf numFmtId="4" fontId="43" fillId="100" borderId="103" applyNumberFormat="0" applyProtection="0">
      <alignment horizontal="left" vertical="center" indent="1"/>
    </xf>
    <xf numFmtId="4" fontId="43" fillId="100" borderId="103" applyNumberFormat="0" applyProtection="0">
      <alignment horizontal="left" vertical="center" indent="1"/>
    </xf>
    <xf numFmtId="4" fontId="43" fillId="100" borderId="103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1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43" fillId="103" borderId="103" applyNumberFormat="0" applyProtection="0">
      <alignment horizontal="left" vertical="center" indent="1"/>
    </xf>
    <xf numFmtId="4" fontId="43" fillId="103" borderId="103" applyNumberFormat="0" applyProtection="0">
      <alignment horizontal="left" vertical="center" indent="1"/>
    </xf>
    <xf numFmtId="4" fontId="43" fillId="103" borderId="103" applyNumberFormat="0" applyProtection="0">
      <alignment horizontal="left" vertical="center" indent="1"/>
    </xf>
    <xf numFmtId="4" fontId="43" fillId="103" borderId="103" applyNumberFormat="0" applyProtection="0">
      <alignment horizontal="left" vertical="center" indent="1"/>
    </xf>
    <xf numFmtId="4" fontId="43" fillId="103" borderId="103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4" fontId="24" fillId="102" borderId="104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3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106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24" fillId="70" borderId="102" applyNumberFormat="0">
      <protection locked="0"/>
    </xf>
    <xf numFmtId="0" fontId="24" fillId="70" borderId="102" applyNumberFormat="0">
      <protection locked="0"/>
    </xf>
    <xf numFmtId="0" fontId="24" fillId="70" borderId="102" applyNumberFormat="0">
      <protection locked="0"/>
    </xf>
    <xf numFmtId="0" fontId="24" fillId="70" borderId="102" applyNumberFormat="0">
      <protection locked="0"/>
    </xf>
    <xf numFmtId="4" fontId="43" fillId="72" borderId="103" applyNumberFormat="0" applyProtection="0">
      <alignment vertical="center"/>
    </xf>
    <xf numFmtId="4" fontId="43" fillId="72" borderId="103" applyNumberFormat="0" applyProtection="0">
      <alignment vertical="center"/>
    </xf>
    <xf numFmtId="4" fontId="43" fillId="72" borderId="103" applyNumberFormat="0" applyProtection="0">
      <alignment vertical="center"/>
    </xf>
    <xf numFmtId="4" fontId="85" fillId="72" borderId="103" applyNumberFormat="0" applyProtection="0">
      <alignment vertical="center"/>
    </xf>
    <xf numFmtId="4" fontId="43" fillId="72" borderId="103" applyNumberFormat="0" applyProtection="0">
      <alignment horizontal="left" vertical="center" indent="1"/>
    </xf>
    <xf numFmtId="4" fontId="43" fillId="72" borderId="103" applyNumberFormat="0" applyProtection="0">
      <alignment horizontal="left" vertical="center" indent="1"/>
    </xf>
    <xf numFmtId="4" fontId="43" fillId="72" borderId="103" applyNumberFormat="0" applyProtection="0">
      <alignment horizontal="left" vertical="center" indent="1"/>
    </xf>
    <xf numFmtId="4" fontId="43" fillId="72" borderId="103" applyNumberFormat="0" applyProtection="0">
      <alignment horizontal="left" vertical="center" indent="1"/>
    </xf>
    <xf numFmtId="4" fontId="43" fillId="72" borderId="103" applyNumberFormat="0" applyProtection="0">
      <alignment horizontal="left" vertical="center" indent="1"/>
    </xf>
    <xf numFmtId="4" fontId="43" fillId="72" borderId="103" applyNumberFormat="0" applyProtection="0">
      <alignment horizontal="left" vertical="center" indent="1"/>
    </xf>
    <xf numFmtId="4" fontId="43" fillId="0" borderId="103" applyNumberFormat="0" applyProtection="0">
      <alignment horizontal="right" vertical="center"/>
    </xf>
    <xf numFmtId="4" fontId="43" fillId="0" borderId="103" applyNumberFormat="0" applyProtection="0">
      <alignment horizontal="right" vertical="center"/>
    </xf>
    <xf numFmtId="4" fontId="43" fillId="0" borderId="103" applyNumberFormat="0" applyProtection="0">
      <alignment horizontal="right" vertical="center"/>
    </xf>
    <xf numFmtId="4" fontId="85" fillId="100" borderId="103" applyNumberFormat="0" applyProtection="0">
      <alignment horizontal="right" vertical="center"/>
    </xf>
    <xf numFmtId="0" fontId="3" fillId="0" borderId="103" applyNumberFormat="0" applyProtection="0">
      <alignment horizontal="left" vertical="center" indent="1"/>
    </xf>
    <xf numFmtId="0" fontId="3" fillId="0" borderId="103" applyNumberFormat="0" applyProtection="0">
      <alignment horizontal="left" vertical="center" indent="1"/>
    </xf>
    <xf numFmtId="0" fontId="3" fillId="0" borderId="103" applyNumberFormat="0" applyProtection="0">
      <alignment horizontal="left" vertical="center" indent="1"/>
    </xf>
    <xf numFmtId="0" fontId="3" fillId="0" borderId="103" applyNumberFormat="0" applyProtection="0">
      <alignment horizontal="left" vertical="center" indent="1"/>
    </xf>
    <xf numFmtId="0" fontId="3" fillId="0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0" fontId="3" fillId="84" borderId="103" applyNumberFormat="0" applyProtection="0">
      <alignment horizontal="left" vertical="center" indent="1"/>
    </xf>
    <xf numFmtId="4" fontId="91" fillId="100" borderId="103" applyNumberFormat="0" applyProtection="0">
      <alignment horizontal="right" vertical="center"/>
    </xf>
    <xf numFmtId="0" fontId="35" fillId="0" borderId="106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5" fillId="0" borderId="107" applyNumberFormat="0" applyFill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4" fillId="0" borderId="0"/>
    <xf numFmtId="44" fontId="3" fillId="0" borderId="0" applyFont="0" applyFill="0" applyBorder="0" applyAlignment="0" applyProtection="0"/>
    <xf numFmtId="0" fontId="75" fillId="0" borderId="126" applyNumberFormat="0" applyFill="0" applyAlignment="0" applyProtection="0"/>
    <xf numFmtId="0" fontId="81" fillId="79" borderId="127" applyNumberFormat="0" applyAlignment="0" applyProtection="0"/>
    <xf numFmtId="4" fontId="36" fillId="54" borderId="128" applyNumberFormat="0" applyProtection="0">
      <alignment vertical="center"/>
    </xf>
    <xf numFmtId="4" fontId="36" fillId="54" borderId="128" applyNumberFormat="0" applyProtection="0">
      <alignment vertical="center"/>
    </xf>
    <xf numFmtId="4" fontId="43" fillId="54" borderId="127" applyNumberFormat="0" applyProtection="0">
      <alignment vertical="center"/>
    </xf>
    <xf numFmtId="4" fontId="43" fillId="54" borderId="127" applyNumberFormat="0" applyProtection="0">
      <alignment vertical="center"/>
    </xf>
    <xf numFmtId="4" fontId="39" fillId="82" borderId="128" applyNumberFormat="0" applyProtection="0">
      <alignment vertical="center"/>
    </xf>
    <xf numFmtId="4" fontId="43" fillId="54" borderId="127" applyNumberFormat="0" applyProtection="0">
      <alignment vertical="center"/>
    </xf>
    <xf numFmtId="4" fontId="37" fillId="54" borderId="128" applyNumberFormat="0" applyProtection="0">
      <alignment vertical="center"/>
    </xf>
    <xf numFmtId="4" fontId="85" fillId="54" borderId="127" applyNumberFormat="0" applyProtection="0">
      <alignment vertical="center"/>
    </xf>
    <xf numFmtId="4" fontId="116" fillId="54" borderId="128" applyNumberFormat="0" applyProtection="0">
      <alignment vertical="center"/>
    </xf>
    <xf numFmtId="4" fontId="37" fillId="54" borderId="128" applyNumberFormat="0" applyProtection="0">
      <alignment vertical="center"/>
    </xf>
    <xf numFmtId="4" fontId="38" fillId="54" borderId="128" applyNumberFormat="0" applyProtection="0">
      <alignment horizontal="left" vertical="center" indent="1"/>
    </xf>
    <xf numFmtId="4" fontId="38" fillId="54" borderId="128" applyNumberFormat="0" applyProtection="0">
      <alignment horizontal="left" vertical="center" indent="1"/>
    </xf>
    <xf numFmtId="4" fontId="43" fillId="54" borderId="127" applyNumberFormat="0" applyProtection="0">
      <alignment horizontal="left" vertical="center" indent="1"/>
    </xf>
    <xf numFmtId="4" fontId="43" fillId="54" borderId="127" applyNumberFormat="0" applyProtection="0">
      <alignment horizontal="left" vertical="center" indent="1"/>
    </xf>
    <xf numFmtId="4" fontId="39" fillId="54" borderId="128" applyNumberFormat="0" applyProtection="0">
      <alignment horizontal="left" vertical="center" indent="1"/>
    </xf>
    <xf numFmtId="4" fontId="43" fillId="54" borderId="127" applyNumberFormat="0" applyProtection="0">
      <alignment horizontal="left" vertical="center" indent="1"/>
    </xf>
    <xf numFmtId="0" fontId="39" fillId="54" borderId="128" applyNumberFormat="0" applyProtection="0">
      <alignment horizontal="left" vertical="top" indent="1"/>
    </xf>
    <xf numFmtId="4" fontId="43" fillId="54" borderId="127" applyNumberFormat="0" applyProtection="0">
      <alignment horizontal="left" vertical="center" indent="1"/>
    </xf>
    <xf numFmtId="4" fontId="43" fillId="54" borderId="127" applyNumberFormat="0" applyProtection="0">
      <alignment horizontal="left" vertical="center" indent="1"/>
    </xf>
    <xf numFmtId="0" fontId="39" fillId="54" borderId="128" applyNumberFormat="0" applyProtection="0">
      <alignment horizontal="left" vertical="top" indent="1"/>
    </xf>
    <xf numFmtId="4" fontId="43" fillId="5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4" fontId="38" fillId="56" borderId="128" applyNumberFormat="0" applyProtection="0">
      <alignment horizontal="right" vertical="center"/>
    </xf>
    <xf numFmtId="4" fontId="43" fillId="57" borderId="127" applyNumberFormat="0" applyProtection="0">
      <alignment horizontal="right" vertical="center"/>
    </xf>
    <xf numFmtId="4" fontId="43" fillId="57" borderId="127" applyNumberFormat="0" applyProtection="0">
      <alignment horizontal="right" vertical="center"/>
    </xf>
    <xf numFmtId="4" fontId="43" fillId="85" borderId="128" applyNumberFormat="0" applyProtection="0">
      <alignment horizontal="right" vertical="center"/>
    </xf>
    <xf numFmtId="4" fontId="43" fillId="85" borderId="128" applyNumberFormat="0" applyProtection="0">
      <alignment horizontal="right" vertical="center"/>
    </xf>
    <xf numFmtId="4" fontId="43" fillId="57" borderId="127" applyNumberFormat="0" applyProtection="0">
      <alignment horizontal="right" vertical="center"/>
    </xf>
    <xf numFmtId="4" fontId="38" fillId="56" borderId="128" applyNumberFormat="0" applyProtection="0">
      <alignment horizontal="right" vertical="center"/>
    </xf>
    <xf numFmtId="4" fontId="38" fillId="57" borderId="128" applyNumberFormat="0" applyProtection="0">
      <alignment horizontal="right" vertical="center"/>
    </xf>
    <xf numFmtId="4" fontId="43" fillId="58" borderId="127" applyNumberFormat="0" applyProtection="0">
      <alignment horizontal="right" vertical="center"/>
    </xf>
    <xf numFmtId="4" fontId="43" fillId="58" borderId="127" applyNumberFormat="0" applyProtection="0">
      <alignment horizontal="right" vertical="center"/>
    </xf>
    <xf numFmtId="4" fontId="43" fillId="87" borderId="128" applyNumberFormat="0" applyProtection="0">
      <alignment horizontal="right" vertical="center"/>
    </xf>
    <xf numFmtId="4" fontId="43" fillId="87" borderId="128" applyNumberFormat="0" applyProtection="0">
      <alignment horizontal="right" vertical="center"/>
    </xf>
    <xf numFmtId="4" fontId="43" fillId="58" borderId="127" applyNumberFormat="0" applyProtection="0">
      <alignment horizontal="right" vertical="center"/>
    </xf>
    <xf numFmtId="4" fontId="38" fillId="57" borderId="128" applyNumberFormat="0" applyProtection="0">
      <alignment horizontal="right" vertical="center"/>
    </xf>
    <xf numFmtId="4" fontId="38" fillId="58" borderId="128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43" fillId="56" borderId="127" applyNumberFormat="0" applyProtection="0">
      <alignment horizontal="right" vertical="center"/>
    </xf>
    <xf numFmtId="4" fontId="43" fillId="56" borderId="127" applyNumberFormat="0" applyProtection="0">
      <alignment horizontal="right" vertical="center"/>
    </xf>
    <xf numFmtId="4" fontId="43" fillId="88" borderId="128" applyNumberFormat="0" applyProtection="0">
      <alignment horizontal="right" vertical="center"/>
    </xf>
    <xf numFmtId="4" fontId="43" fillId="88" borderId="128" applyNumberFormat="0" applyProtection="0">
      <alignment horizontal="right" vertical="center"/>
    </xf>
    <xf numFmtId="4" fontId="43" fillId="56" borderId="127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24" fillId="88" borderId="129" applyNumberFormat="0" applyProtection="0">
      <alignment horizontal="right" vertical="center"/>
    </xf>
    <xf numFmtId="4" fontId="38" fillId="58" borderId="128" applyNumberFormat="0" applyProtection="0">
      <alignment horizontal="right" vertical="center"/>
    </xf>
    <xf numFmtId="4" fontId="38" fillId="60" borderId="128" applyNumberFormat="0" applyProtection="0">
      <alignment horizontal="right" vertical="center"/>
    </xf>
    <xf numFmtId="4" fontId="43" fillId="61" borderId="127" applyNumberFormat="0" applyProtection="0">
      <alignment horizontal="right" vertical="center"/>
    </xf>
    <xf numFmtId="4" fontId="43" fillId="61" borderId="127" applyNumberFormat="0" applyProtection="0">
      <alignment horizontal="right" vertical="center"/>
    </xf>
    <xf numFmtId="4" fontId="43" fillId="89" borderId="128" applyNumberFormat="0" applyProtection="0">
      <alignment horizontal="right" vertical="center"/>
    </xf>
    <xf numFmtId="4" fontId="43" fillId="89" borderId="128" applyNumberFormat="0" applyProtection="0">
      <alignment horizontal="right" vertical="center"/>
    </xf>
    <xf numFmtId="4" fontId="43" fillId="61" borderId="127" applyNumberFormat="0" applyProtection="0">
      <alignment horizontal="right" vertical="center"/>
    </xf>
    <xf numFmtId="4" fontId="38" fillId="60" borderId="128" applyNumberFormat="0" applyProtection="0">
      <alignment horizontal="right" vertical="center"/>
    </xf>
    <xf numFmtId="4" fontId="38" fillId="61" borderId="128" applyNumberFormat="0" applyProtection="0">
      <alignment horizontal="right" vertical="center"/>
    </xf>
    <xf numFmtId="4" fontId="43" fillId="91" borderId="127" applyNumberFormat="0" applyProtection="0">
      <alignment horizontal="right" vertical="center"/>
    </xf>
    <xf numFmtId="4" fontId="43" fillId="91" borderId="127" applyNumberFormat="0" applyProtection="0">
      <alignment horizontal="right" vertical="center"/>
    </xf>
    <xf numFmtId="4" fontId="43" fillId="90" borderId="128" applyNumberFormat="0" applyProtection="0">
      <alignment horizontal="right" vertical="center"/>
    </xf>
    <xf numFmtId="4" fontId="43" fillId="90" borderId="128" applyNumberFormat="0" applyProtection="0">
      <alignment horizontal="right" vertical="center"/>
    </xf>
    <xf numFmtId="4" fontId="43" fillId="91" borderId="127" applyNumberFormat="0" applyProtection="0">
      <alignment horizontal="right" vertical="center"/>
    </xf>
    <xf numFmtId="4" fontId="38" fillId="61" borderId="128" applyNumberFormat="0" applyProtection="0">
      <alignment horizontal="right" vertical="center"/>
    </xf>
    <xf numFmtId="4" fontId="38" fillId="59" borderId="128" applyNumberFormat="0" applyProtection="0">
      <alignment horizontal="right" vertical="center"/>
    </xf>
    <xf numFmtId="4" fontId="43" fillId="93" borderId="127" applyNumberFormat="0" applyProtection="0">
      <alignment horizontal="right" vertical="center"/>
    </xf>
    <xf numFmtId="4" fontId="43" fillId="93" borderId="127" applyNumberFormat="0" applyProtection="0">
      <alignment horizontal="right" vertical="center"/>
    </xf>
    <xf numFmtId="4" fontId="43" fillId="92" borderId="128" applyNumberFormat="0" applyProtection="0">
      <alignment horizontal="right" vertical="center"/>
    </xf>
    <xf numFmtId="4" fontId="43" fillId="92" borderId="128" applyNumberFormat="0" applyProtection="0">
      <alignment horizontal="right" vertical="center"/>
    </xf>
    <xf numFmtId="4" fontId="43" fillId="93" borderId="127" applyNumberFormat="0" applyProtection="0">
      <alignment horizontal="right" vertical="center"/>
    </xf>
    <xf numFmtId="4" fontId="38" fillId="59" borderId="128" applyNumberFormat="0" applyProtection="0">
      <alignment horizontal="right" vertical="center"/>
    </xf>
    <xf numFmtId="4" fontId="38" fillId="63" borderId="128" applyNumberFormat="0" applyProtection="0">
      <alignment horizontal="right" vertical="center"/>
    </xf>
    <xf numFmtId="4" fontId="43" fillId="64" borderId="127" applyNumberFormat="0" applyProtection="0">
      <alignment horizontal="right" vertical="center"/>
    </xf>
    <xf numFmtId="4" fontId="43" fillId="64" borderId="127" applyNumberFormat="0" applyProtection="0">
      <alignment horizontal="right" vertical="center"/>
    </xf>
    <xf numFmtId="4" fontId="43" fillId="94" borderId="128" applyNumberFormat="0" applyProtection="0">
      <alignment horizontal="right" vertical="center"/>
    </xf>
    <xf numFmtId="4" fontId="43" fillId="94" borderId="128" applyNumberFormat="0" applyProtection="0">
      <alignment horizontal="right" vertical="center"/>
    </xf>
    <xf numFmtId="4" fontId="43" fillId="64" borderId="127" applyNumberFormat="0" applyProtection="0">
      <alignment horizontal="right" vertical="center"/>
    </xf>
    <xf numFmtId="4" fontId="38" fillId="63" borderId="128" applyNumberFormat="0" applyProtection="0">
      <alignment horizontal="right" vertical="center"/>
    </xf>
    <xf numFmtId="4" fontId="38" fillId="64" borderId="128" applyNumberFormat="0" applyProtection="0">
      <alignment horizontal="right" vertical="center"/>
    </xf>
    <xf numFmtId="4" fontId="43" fillId="63" borderId="127" applyNumberFormat="0" applyProtection="0">
      <alignment horizontal="right" vertical="center"/>
    </xf>
    <xf numFmtId="4" fontId="43" fillId="63" borderId="127" applyNumberFormat="0" applyProtection="0">
      <alignment horizontal="right" vertical="center"/>
    </xf>
    <xf numFmtId="4" fontId="43" fillId="95" borderId="128" applyNumberFormat="0" applyProtection="0">
      <alignment horizontal="right" vertical="center"/>
    </xf>
    <xf numFmtId="4" fontId="43" fillId="95" borderId="128" applyNumberFormat="0" applyProtection="0">
      <alignment horizontal="right" vertical="center"/>
    </xf>
    <xf numFmtId="4" fontId="43" fillId="63" borderId="127" applyNumberFormat="0" applyProtection="0">
      <alignment horizontal="right" vertical="center"/>
    </xf>
    <xf numFmtId="4" fontId="38" fillId="64" borderId="128" applyNumberFormat="0" applyProtection="0">
      <alignment horizontal="right" vertical="center"/>
    </xf>
    <xf numFmtId="4" fontId="38" fillId="62" borderId="128" applyNumberFormat="0" applyProtection="0">
      <alignment horizontal="right" vertical="center"/>
    </xf>
    <xf numFmtId="4" fontId="43" fillId="97" borderId="127" applyNumberFormat="0" applyProtection="0">
      <alignment horizontal="right" vertical="center"/>
    </xf>
    <xf numFmtId="4" fontId="43" fillId="97" borderId="127" applyNumberFormat="0" applyProtection="0">
      <alignment horizontal="right" vertical="center"/>
    </xf>
    <xf numFmtId="4" fontId="43" fillId="96" borderId="128" applyNumberFormat="0" applyProtection="0">
      <alignment horizontal="right" vertical="center"/>
    </xf>
    <xf numFmtId="4" fontId="43" fillId="96" borderId="128" applyNumberFormat="0" applyProtection="0">
      <alignment horizontal="right" vertical="center"/>
    </xf>
    <xf numFmtId="4" fontId="43" fillId="97" borderId="127" applyNumberFormat="0" applyProtection="0">
      <alignment horizontal="right" vertical="center"/>
    </xf>
    <xf numFmtId="4" fontId="38" fillId="62" borderId="128" applyNumberFormat="0" applyProtection="0">
      <alignment horizontal="right" vertical="center"/>
    </xf>
    <xf numFmtId="4" fontId="36" fillId="65" borderId="130" applyNumberFormat="0" applyProtection="0">
      <alignment horizontal="left" vertical="center" indent="1"/>
    </xf>
    <xf numFmtId="4" fontId="39" fillId="99" borderId="127" applyNumberFormat="0" applyProtection="0">
      <alignment horizontal="left" vertical="center" indent="1"/>
    </xf>
    <xf numFmtId="4" fontId="39" fillId="98" borderId="130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36" fillId="65" borderId="130" applyNumberFormat="0" applyProtection="0">
      <alignment horizontal="left" vertical="center" indent="1"/>
    </xf>
    <xf numFmtId="4" fontId="24" fillId="98" borderId="129" applyNumberFormat="0" applyProtection="0">
      <alignment horizontal="left" vertical="center" indent="1"/>
    </xf>
    <xf numFmtId="4" fontId="3" fillId="71" borderId="129" applyNumberFormat="0" applyProtection="0">
      <alignment horizontal="left" vertical="center" indent="1"/>
    </xf>
    <xf numFmtId="4" fontId="3" fillId="71" borderId="129" applyNumberFormat="0" applyProtection="0">
      <alignment horizontal="left" vertical="center" indent="1"/>
    </xf>
    <xf numFmtId="4" fontId="38" fillId="66" borderId="128" applyNumberFormat="0" applyProtection="0">
      <alignment horizontal="right" vertical="center"/>
    </xf>
    <xf numFmtId="0" fontId="3" fillId="84" borderId="127" applyNumberFormat="0" applyProtection="0">
      <alignment horizontal="left" vertical="center" indent="1"/>
    </xf>
    <xf numFmtId="4" fontId="43" fillId="102" borderId="128" applyNumberFormat="0" applyProtection="0">
      <alignment horizontal="right" vertical="center"/>
    </xf>
    <xf numFmtId="4" fontId="43" fillId="102" borderId="128" applyNumberFormat="0" applyProtection="0">
      <alignment horizontal="right" vertical="center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4" fontId="38" fillId="66" borderId="128" applyNumberFormat="0" applyProtection="0">
      <alignment horizontal="right" vertical="center"/>
    </xf>
    <xf numFmtId="4" fontId="24" fillId="101" borderId="129" applyNumberFormat="0" applyProtection="0">
      <alignment horizontal="left" vertical="center" indent="1"/>
    </xf>
    <xf numFmtId="4" fontId="43" fillId="100" borderId="127" applyNumberFormat="0" applyProtection="0">
      <alignment horizontal="left" vertical="center" indent="1"/>
    </xf>
    <xf numFmtId="4" fontId="43" fillId="100" borderId="127" applyNumberFormat="0" applyProtection="0">
      <alignment horizontal="left" vertical="center" indent="1"/>
    </xf>
    <xf numFmtId="4" fontId="43" fillId="100" borderId="127" applyNumberFormat="0" applyProtection="0">
      <alignment horizontal="left" vertical="center" indent="1"/>
    </xf>
    <xf numFmtId="4" fontId="43" fillId="100" borderId="127" applyNumberFormat="0" applyProtection="0">
      <alignment horizontal="left" vertical="center" indent="1"/>
    </xf>
    <xf numFmtId="4" fontId="43" fillId="100" borderId="127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1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43" fillId="103" borderId="127" applyNumberFormat="0" applyProtection="0">
      <alignment horizontal="left" vertical="center" indent="1"/>
    </xf>
    <xf numFmtId="4" fontId="43" fillId="103" borderId="127" applyNumberFormat="0" applyProtection="0">
      <alignment horizontal="left" vertical="center" indent="1"/>
    </xf>
    <xf numFmtId="4" fontId="43" fillId="103" borderId="127" applyNumberFormat="0" applyProtection="0">
      <alignment horizontal="left" vertical="center" indent="1"/>
    </xf>
    <xf numFmtId="4" fontId="43" fillId="103" borderId="127" applyNumberFormat="0" applyProtection="0">
      <alignment horizontal="left" vertical="center" indent="1"/>
    </xf>
    <xf numFmtId="4" fontId="43" fillId="103" borderId="127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4" fontId="24" fillId="102" borderId="129" applyNumberFormat="0" applyProtection="0">
      <alignment horizontal="left" vertical="center" indent="1"/>
    </xf>
    <xf numFmtId="0" fontId="3" fillId="55" borderId="128" applyNumberFormat="0" applyProtection="0">
      <alignment horizontal="left" vertical="center" indent="1"/>
    </xf>
    <xf numFmtId="0" fontId="3" fillId="103" borderId="127" applyNumberFormat="0" applyProtection="0">
      <alignment horizontal="left" vertical="center" indent="1"/>
    </xf>
    <xf numFmtId="0" fontId="3" fillId="55" borderId="128" applyNumberFormat="0" applyProtection="0">
      <alignment horizontal="left" vertical="center" indent="1"/>
    </xf>
    <xf numFmtId="0" fontId="3" fillId="103" borderId="127" applyNumberFormat="0" applyProtection="0">
      <alignment horizontal="left" vertical="center" indent="1"/>
    </xf>
    <xf numFmtId="0" fontId="3" fillId="103" borderId="127" applyNumberFormat="0" applyProtection="0">
      <alignment horizontal="left" vertical="center" indent="1"/>
    </xf>
    <xf numFmtId="0" fontId="3" fillId="103" borderId="127" applyNumberFormat="0" applyProtection="0">
      <alignment horizontal="left" vertical="center" indent="1"/>
    </xf>
    <xf numFmtId="0" fontId="3" fillId="55" borderId="128" applyNumberFormat="0" applyProtection="0">
      <alignment horizontal="left" vertical="top" indent="1"/>
    </xf>
    <xf numFmtId="0" fontId="3" fillId="103" borderId="127" applyNumberFormat="0" applyProtection="0">
      <alignment horizontal="left" vertical="center" indent="1"/>
    </xf>
    <xf numFmtId="0" fontId="3" fillId="55" borderId="128" applyNumberFormat="0" applyProtection="0">
      <alignment horizontal="left" vertical="top" indent="1"/>
    </xf>
    <xf numFmtId="0" fontId="3" fillId="103" borderId="127" applyNumberFormat="0" applyProtection="0">
      <alignment horizontal="left" vertical="center" indent="1"/>
    </xf>
    <xf numFmtId="0" fontId="3" fillId="103" borderId="127" applyNumberFormat="0" applyProtection="0">
      <alignment horizontal="left" vertical="center" indent="1"/>
    </xf>
    <xf numFmtId="0" fontId="3" fillId="103" borderId="127" applyNumberFormat="0" applyProtection="0">
      <alignment horizontal="left" vertical="center" indent="1"/>
    </xf>
    <xf numFmtId="0" fontId="24" fillId="71" borderId="128" applyNumberFormat="0" applyProtection="0">
      <alignment horizontal="left" vertical="top" indent="1"/>
    </xf>
    <xf numFmtId="0" fontId="24" fillId="71" borderId="128" applyNumberFormat="0" applyProtection="0">
      <alignment horizontal="left" vertical="top" indent="1"/>
    </xf>
    <xf numFmtId="0" fontId="24" fillId="71" borderId="128" applyNumberFormat="0" applyProtection="0">
      <alignment horizontal="left" vertical="top" indent="1"/>
    </xf>
    <xf numFmtId="0" fontId="24" fillId="71" borderId="128" applyNumberFormat="0" applyProtection="0">
      <alignment horizontal="left" vertical="top" indent="1"/>
    </xf>
    <xf numFmtId="0" fontId="3" fillId="68" borderId="128" applyNumberFormat="0" applyProtection="0">
      <alignment horizontal="left" vertical="center" indent="1"/>
    </xf>
    <xf numFmtId="0" fontId="3" fillId="106" borderId="127" applyNumberFormat="0" applyProtection="0">
      <alignment horizontal="left" vertical="center" indent="1"/>
    </xf>
    <xf numFmtId="0" fontId="3" fillId="68" borderId="128" applyNumberFormat="0" applyProtection="0">
      <alignment horizontal="left" vertical="center" indent="1"/>
    </xf>
    <xf numFmtId="0" fontId="3" fillId="106" borderId="127" applyNumberFormat="0" applyProtection="0">
      <alignment horizontal="left" vertical="center" indent="1"/>
    </xf>
    <xf numFmtId="0" fontId="3" fillId="106" borderId="127" applyNumberFormat="0" applyProtection="0">
      <alignment horizontal="left" vertical="center" indent="1"/>
    </xf>
    <xf numFmtId="0" fontId="3" fillId="106" borderId="127" applyNumberFormat="0" applyProtection="0">
      <alignment horizontal="left" vertical="center" indent="1"/>
    </xf>
    <xf numFmtId="0" fontId="3" fillId="68" borderId="128" applyNumberFormat="0" applyProtection="0">
      <alignment horizontal="left" vertical="top" indent="1"/>
    </xf>
    <xf numFmtId="0" fontId="3" fillId="106" borderId="127" applyNumberFormat="0" applyProtection="0">
      <alignment horizontal="left" vertical="center" indent="1"/>
    </xf>
    <xf numFmtId="0" fontId="3" fillId="68" borderId="128" applyNumberFormat="0" applyProtection="0">
      <alignment horizontal="left" vertical="top" indent="1"/>
    </xf>
    <xf numFmtId="0" fontId="3" fillId="106" borderId="127" applyNumberFormat="0" applyProtection="0">
      <alignment horizontal="left" vertical="center" indent="1"/>
    </xf>
    <xf numFmtId="0" fontId="3" fillId="106" borderId="127" applyNumberFormat="0" applyProtection="0">
      <alignment horizontal="left" vertical="center" indent="1"/>
    </xf>
    <xf numFmtId="0" fontId="3" fillId="106" borderId="127" applyNumberFormat="0" applyProtection="0">
      <alignment horizontal="left" vertical="center" indent="1"/>
    </xf>
    <xf numFmtId="0" fontId="24" fillId="102" borderId="128" applyNumberFormat="0" applyProtection="0">
      <alignment horizontal="left" vertical="top" indent="1"/>
    </xf>
    <xf numFmtId="0" fontId="24" fillId="102" borderId="128" applyNumberFormat="0" applyProtection="0">
      <alignment horizontal="left" vertical="top" indent="1"/>
    </xf>
    <xf numFmtId="0" fontId="24" fillId="102" borderId="128" applyNumberFormat="0" applyProtection="0">
      <alignment horizontal="left" vertical="top" indent="1"/>
    </xf>
    <xf numFmtId="0" fontId="24" fillId="102" borderId="128" applyNumberFormat="0" applyProtection="0">
      <alignment horizontal="left" vertical="top" indent="1"/>
    </xf>
    <xf numFmtId="0" fontId="3" fillId="66" borderId="128" applyNumberFormat="0" applyProtection="0">
      <alignment horizontal="left" vertical="center" indent="1"/>
    </xf>
    <xf numFmtId="0" fontId="3" fillId="4" borderId="127" applyNumberFormat="0" applyProtection="0">
      <alignment horizontal="left" vertical="center" indent="1"/>
    </xf>
    <xf numFmtId="0" fontId="3" fillId="66" borderId="128" applyNumberFormat="0" applyProtection="0">
      <alignment horizontal="left" vertical="center" indent="1"/>
    </xf>
    <xf numFmtId="0" fontId="3" fillId="4" borderId="127" applyNumberFormat="0" applyProtection="0">
      <alignment horizontal="left" vertical="center" indent="1"/>
    </xf>
    <xf numFmtId="0" fontId="3" fillId="4" borderId="127" applyNumberFormat="0" applyProtection="0">
      <alignment horizontal="left" vertical="center" indent="1"/>
    </xf>
    <xf numFmtId="0" fontId="3" fillId="4" borderId="127" applyNumberFormat="0" applyProtection="0">
      <alignment horizontal="left" vertical="center" indent="1"/>
    </xf>
    <xf numFmtId="0" fontId="3" fillId="66" borderId="128" applyNumberFormat="0" applyProtection="0">
      <alignment horizontal="left" vertical="top" indent="1"/>
    </xf>
    <xf numFmtId="0" fontId="3" fillId="4" borderId="127" applyNumberFormat="0" applyProtection="0">
      <alignment horizontal="left" vertical="center" indent="1"/>
    </xf>
    <xf numFmtId="0" fontId="3" fillId="66" borderId="128" applyNumberFormat="0" applyProtection="0">
      <alignment horizontal="left" vertical="top" indent="1"/>
    </xf>
    <xf numFmtId="0" fontId="3" fillId="4" borderId="127" applyNumberFormat="0" applyProtection="0">
      <alignment horizontal="left" vertical="center" indent="1"/>
    </xf>
    <xf numFmtId="0" fontId="3" fillId="4" borderId="127" applyNumberFormat="0" applyProtection="0">
      <alignment horizontal="left" vertical="center" indent="1"/>
    </xf>
    <xf numFmtId="0" fontId="3" fillId="4" borderId="127" applyNumberFormat="0" applyProtection="0">
      <alignment horizontal="left" vertical="center" indent="1"/>
    </xf>
    <xf numFmtId="0" fontId="24" fillId="107" borderId="128" applyNumberFormat="0" applyProtection="0">
      <alignment horizontal="left" vertical="top" indent="1"/>
    </xf>
    <xf numFmtId="0" fontId="24" fillId="107" borderId="128" applyNumberFormat="0" applyProtection="0">
      <alignment horizontal="left" vertical="top" indent="1"/>
    </xf>
    <xf numFmtId="0" fontId="24" fillId="107" borderId="128" applyNumberFormat="0" applyProtection="0">
      <alignment horizontal="left" vertical="top" indent="1"/>
    </xf>
    <xf numFmtId="0" fontId="24" fillId="107" borderId="128" applyNumberFormat="0" applyProtection="0">
      <alignment horizontal="left" vertical="top" indent="1"/>
    </xf>
    <xf numFmtId="0" fontId="3" fillId="69" borderId="128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69" borderId="128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69" borderId="128" applyNumberFormat="0" applyProtection="0">
      <alignment horizontal="left" vertical="top" indent="1"/>
    </xf>
    <xf numFmtId="0" fontId="3" fillId="84" borderId="127" applyNumberFormat="0" applyProtection="0">
      <alignment horizontal="left" vertical="center" indent="1"/>
    </xf>
    <xf numFmtId="0" fontId="3" fillId="69" borderId="128" applyNumberFormat="0" applyProtection="0">
      <alignment horizontal="left" vertical="top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24" fillId="101" borderId="128" applyNumberFormat="0" applyProtection="0">
      <alignment horizontal="left" vertical="top" indent="1"/>
    </xf>
    <xf numFmtId="0" fontId="24" fillId="101" borderId="128" applyNumberFormat="0" applyProtection="0">
      <alignment horizontal="left" vertical="top" indent="1"/>
    </xf>
    <xf numFmtId="0" fontId="24" fillId="101" borderId="128" applyNumberFormat="0" applyProtection="0">
      <alignment horizontal="left" vertical="top" indent="1"/>
    </xf>
    <xf numFmtId="0" fontId="24" fillId="101" borderId="128" applyNumberFormat="0" applyProtection="0">
      <alignment horizontal="left" vertical="top" indent="1"/>
    </xf>
    <xf numFmtId="0" fontId="24" fillId="70" borderId="131" applyNumberFormat="0">
      <protection locked="0"/>
    </xf>
    <xf numFmtId="0" fontId="24" fillId="70" borderId="131" applyNumberFormat="0">
      <protection locked="0"/>
    </xf>
    <xf numFmtId="0" fontId="24" fillId="70" borderId="131" applyNumberFormat="0">
      <protection locked="0"/>
    </xf>
    <xf numFmtId="0" fontId="24" fillId="70" borderId="131" applyNumberFormat="0">
      <protection locked="0"/>
    </xf>
    <xf numFmtId="0" fontId="24" fillId="70" borderId="131" applyNumberFormat="0">
      <protection locked="0"/>
    </xf>
    <xf numFmtId="0" fontId="14" fillId="71" borderId="132" applyBorder="0"/>
    <xf numFmtId="4" fontId="38" fillId="69" borderId="128" applyNumberFormat="0" applyProtection="0">
      <alignment vertical="center"/>
    </xf>
    <xf numFmtId="4" fontId="43" fillId="72" borderId="127" applyNumberFormat="0" applyProtection="0">
      <alignment vertical="center"/>
    </xf>
    <xf numFmtId="4" fontId="43" fillId="72" borderId="127" applyNumberFormat="0" applyProtection="0">
      <alignment vertical="center"/>
    </xf>
    <xf numFmtId="4" fontId="43" fillId="72" borderId="128" applyNumberFormat="0" applyProtection="0">
      <alignment vertical="center"/>
    </xf>
    <xf numFmtId="4" fontId="43" fillId="72" borderId="128" applyNumberFormat="0" applyProtection="0">
      <alignment vertical="center"/>
    </xf>
    <xf numFmtId="4" fontId="43" fillId="72" borderId="127" applyNumberFormat="0" applyProtection="0">
      <alignment vertical="center"/>
    </xf>
    <xf numFmtId="4" fontId="38" fillId="69" borderId="128" applyNumberFormat="0" applyProtection="0">
      <alignment vertical="center"/>
    </xf>
    <xf numFmtId="4" fontId="44" fillId="69" borderId="128" applyNumberFormat="0" applyProtection="0">
      <alignment vertical="center"/>
    </xf>
    <xf numFmtId="4" fontId="85" fillId="72" borderId="127" applyNumberFormat="0" applyProtection="0">
      <alignment vertical="center"/>
    </xf>
    <xf numFmtId="4" fontId="85" fillId="72" borderId="128" applyNumberFormat="0" applyProtection="0">
      <alignment vertical="center"/>
    </xf>
    <xf numFmtId="4" fontId="44" fillId="69" borderId="128" applyNumberFormat="0" applyProtection="0">
      <alignment vertical="center"/>
    </xf>
    <xf numFmtId="4" fontId="36" fillId="66" borderId="133" applyNumberFormat="0" applyProtection="0">
      <alignment horizontal="left" vertical="center" indent="1"/>
    </xf>
    <xf numFmtId="4" fontId="43" fillId="72" borderId="127" applyNumberFormat="0" applyProtection="0">
      <alignment horizontal="left" vertical="center" indent="1"/>
    </xf>
    <xf numFmtId="4" fontId="43" fillId="72" borderId="127" applyNumberFormat="0" applyProtection="0">
      <alignment horizontal="left" vertical="center" indent="1"/>
    </xf>
    <xf numFmtId="4" fontId="43" fillId="72" borderId="128" applyNumberFormat="0" applyProtection="0">
      <alignment horizontal="left" vertical="center" indent="1"/>
    </xf>
    <xf numFmtId="4" fontId="43" fillId="72" borderId="128" applyNumberFormat="0" applyProtection="0">
      <alignment horizontal="left" vertical="center" indent="1"/>
    </xf>
    <xf numFmtId="4" fontId="43" fillId="72" borderId="127" applyNumberFormat="0" applyProtection="0">
      <alignment horizontal="left" vertical="center" indent="1"/>
    </xf>
    <xf numFmtId="4" fontId="36" fillId="66" borderId="133" applyNumberFormat="0" applyProtection="0">
      <alignment horizontal="left" vertical="center" indent="1"/>
    </xf>
    <xf numFmtId="0" fontId="43" fillId="72" borderId="128" applyNumberFormat="0" applyProtection="0">
      <alignment horizontal="left" vertical="top" indent="1"/>
    </xf>
    <xf numFmtId="4" fontId="43" fillId="72" borderId="127" applyNumberFormat="0" applyProtection="0">
      <alignment horizontal="left" vertical="center" indent="1"/>
    </xf>
    <xf numFmtId="4" fontId="43" fillId="72" borderId="127" applyNumberFormat="0" applyProtection="0">
      <alignment horizontal="left" vertical="center" indent="1"/>
    </xf>
    <xf numFmtId="0" fontId="43" fillId="72" borderId="128" applyNumberFormat="0" applyProtection="0">
      <alignment horizontal="left" vertical="top" indent="1"/>
    </xf>
    <xf numFmtId="0" fontId="43" fillId="72" borderId="128" applyNumberFormat="0" applyProtection="0">
      <alignment horizontal="left" vertical="top" indent="1"/>
    </xf>
    <xf numFmtId="4" fontId="43" fillId="72" borderId="127" applyNumberFormat="0" applyProtection="0">
      <alignment horizontal="left" vertical="center" indent="1"/>
    </xf>
    <xf numFmtId="4" fontId="38" fillId="69" borderId="128" applyNumberFormat="0" applyProtection="0">
      <alignment horizontal="right" vertical="center"/>
    </xf>
    <xf numFmtId="4" fontId="38" fillId="69" borderId="128" applyNumberFormat="0" applyProtection="0">
      <alignment horizontal="right" vertical="center"/>
    </xf>
    <xf numFmtId="4" fontId="43" fillId="0" borderId="127" applyNumberFormat="0" applyProtection="0">
      <alignment horizontal="right" vertical="center"/>
    </xf>
    <xf numFmtId="4" fontId="43" fillId="0" borderId="127" applyNumberFormat="0" applyProtection="0">
      <alignment horizontal="right" vertical="center"/>
    </xf>
    <xf numFmtId="4" fontId="43" fillId="0" borderId="128" applyNumberFormat="0" applyProtection="0">
      <alignment horizontal="right" vertical="center"/>
    </xf>
    <xf numFmtId="4" fontId="43" fillId="0" borderId="128" applyNumberFormat="0" applyProtection="0">
      <alignment horizontal="right" vertical="center"/>
    </xf>
    <xf numFmtId="4" fontId="43" fillId="0" borderId="127" applyNumberFormat="0" applyProtection="0">
      <alignment horizontal="right" vertical="center"/>
    </xf>
    <xf numFmtId="4" fontId="44" fillId="69" borderId="128" applyNumberFormat="0" applyProtection="0">
      <alignment horizontal="right" vertical="center"/>
    </xf>
    <xf numFmtId="4" fontId="85" fillId="100" borderId="127" applyNumberFormat="0" applyProtection="0">
      <alignment horizontal="right" vertical="center"/>
    </xf>
    <xf numFmtId="4" fontId="85" fillId="101" borderId="128" applyNumberFormat="0" applyProtection="0">
      <alignment horizontal="right" vertical="center"/>
    </xf>
    <xf numFmtId="4" fontId="44" fillId="69" borderId="128" applyNumberFormat="0" applyProtection="0">
      <alignment horizontal="right" vertical="center"/>
    </xf>
    <xf numFmtId="4" fontId="36" fillId="66" borderId="128" applyNumberFormat="0" applyProtection="0">
      <alignment horizontal="left" vertical="center" indent="1"/>
    </xf>
    <xf numFmtId="4" fontId="36" fillId="66" borderId="128" applyNumberFormat="0" applyProtection="0">
      <alignment horizontal="left" vertical="center" indent="1"/>
    </xf>
    <xf numFmtId="0" fontId="3" fillId="0" borderId="127" applyNumberFormat="0" applyProtection="0">
      <alignment horizontal="left" vertical="center" indent="1"/>
    </xf>
    <xf numFmtId="0" fontId="3" fillId="0" borderId="127" applyNumberFormat="0" applyProtection="0">
      <alignment horizontal="left" vertical="center" indent="1"/>
    </xf>
    <xf numFmtId="4" fontId="43" fillId="0" borderId="128" applyNumberFormat="0" applyProtection="0">
      <alignment horizontal="left" vertical="center" indent="1"/>
    </xf>
    <xf numFmtId="4" fontId="43" fillId="0" borderId="128" applyNumberFormat="0" applyProtection="0">
      <alignment horizontal="left" vertical="center" indent="1"/>
    </xf>
    <xf numFmtId="0" fontId="3" fillId="0" borderId="127" applyNumberFormat="0" applyProtection="0">
      <alignment horizontal="left" vertical="center" indent="1"/>
    </xf>
    <xf numFmtId="0" fontId="3" fillId="0" borderId="127" applyNumberFormat="0" applyProtection="0">
      <alignment horizontal="left" vertical="center" indent="1"/>
    </xf>
    <xf numFmtId="0" fontId="3" fillId="0" borderId="127" applyNumberFormat="0" applyProtection="0">
      <alignment horizontal="left" vertical="center" indent="1"/>
    </xf>
    <xf numFmtId="0" fontId="43" fillId="68" borderId="128" applyNumberFormat="0" applyProtection="0">
      <alignment horizontal="left" vertical="top" indent="1"/>
    </xf>
    <xf numFmtId="0" fontId="3" fillId="84" borderId="127" applyNumberFormat="0" applyProtection="0">
      <alignment horizontal="left" vertical="center" indent="1"/>
    </xf>
    <xf numFmtId="0" fontId="43" fillId="68" borderId="128" applyNumberFormat="0" applyProtection="0">
      <alignment horizontal="left" vertical="top" indent="1"/>
    </xf>
    <xf numFmtId="0" fontId="43" fillId="68" borderId="128" applyNumberFormat="0" applyProtection="0">
      <alignment horizontal="left" vertical="top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0" fontId="3" fillId="84" borderId="127" applyNumberFormat="0" applyProtection="0">
      <alignment horizontal="left" vertical="center" indent="1"/>
    </xf>
    <xf numFmtId="4" fontId="48" fillId="68" borderId="133" applyNumberFormat="0" applyProtection="0">
      <alignment horizontal="left" vertical="center" indent="1"/>
    </xf>
    <xf numFmtId="4" fontId="48" fillId="68" borderId="133" applyNumberFormat="0" applyProtection="0">
      <alignment horizontal="left" vertical="center" indent="1"/>
    </xf>
    <xf numFmtId="4" fontId="49" fillId="69" borderId="128" applyNumberFormat="0" applyProtection="0">
      <alignment horizontal="right" vertical="center"/>
    </xf>
    <xf numFmtId="4" fontId="91" fillId="100" borderId="127" applyNumberFormat="0" applyProtection="0">
      <alignment horizontal="right" vertical="center"/>
    </xf>
    <xf numFmtId="4" fontId="91" fillId="101" borderId="128" applyNumberFormat="0" applyProtection="0">
      <alignment horizontal="right" vertical="center"/>
    </xf>
    <xf numFmtId="4" fontId="49" fillId="69" borderId="128" applyNumberFormat="0" applyProtection="0">
      <alignment horizontal="right" vertical="center"/>
    </xf>
    <xf numFmtId="0" fontId="35" fillId="0" borderId="134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4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167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0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37" fontId="7" fillId="0" borderId="0" xfId="0" applyNumberFormat="1" applyFont="1" applyAlignment="1">
      <alignment horizontal="right"/>
    </xf>
    <xf numFmtId="0" fontId="27" fillId="0" borderId="0" xfId="0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175" fontId="4" fillId="0" borderId="3" xfId="4" applyNumberFormat="1" applyFont="1" applyBorder="1"/>
    <xf numFmtId="165" fontId="5" fillId="0" borderId="48" xfId="22" applyNumberFormat="1" applyFont="1" applyBorder="1"/>
    <xf numFmtId="175" fontId="5" fillId="0" borderId="3" xfId="4" applyNumberFormat="1" applyFont="1" applyBorder="1"/>
    <xf numFmtId="175" fontId="4" fillId="0" borderId="3" xfId="4" applyNumberFormat="1" applyFont="1" applyBorder="1" applyAlignment="1">
      <alignment horizontal="right"/>
    </xf>
    <xf numFmtId="175" fontId="4" fillId="0" borderId="3" xfId="48" applyNumberFormat="1" applyFont="1" applyFill="1" applyBorder="1" applyAlignment="1">
      <alignment horizontal="right"/>
    </xf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0" fontId="4" fillId="0" borderId="0" xfId="2012" applyFont="1"/>
    <xf numFmtId="177" fontId="4" fillId="0" borderId="0" xfId="2012" applyNumberFormat="1" applyFont="1" applyAlignment="1">
      <alignment horizontal="right"/>
    </xf>
    <xf numFmtId="0" fontId="26" fillId="0" borderId="0" xfId="2012" applyFont="1" applyProtection="1">
      <protection locked="0"/>
    </xf>
    <xf numFmtId="177" fontId="4" fillId="0" borderId="0" xfId="2012" quotePrefix="1" applyNumberFormat="1" applyFont="1" applyAlignment="1">
      <alignment horizontal="right"/>
    </xf>
    <xf numFmtId="176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5" fontId="16" fillId="0" borderId="0" xfId="2012" applyNumberFormat="1" applyFont="1" applyAlignment="1" applyProtection="1">
      <alignment horizontal="right"/>
      <protection locked="0"/>
    </xf>
    <xf numFmtId="0" fontId="4" fillId="0" borderId="0" xfId="2012" applyFont="1" applyAlignment="1">
      <alignment vertical="center"/>
    </xf>
    <xf numFmtId="164" fontId="5" fillId="0" borderId="0" xfId="21" applyNumberFormat="1" applyFont="1" applyBorder="1" applyAlignment="1">
      <alignment horizontal="right"/>
    </xf>
    <xf numFmtId="5" fontId="26" fillId="0" borderId="0" xfId="2012" applyNumberFormat="1" applyFont="1" applyAlignment="1" applyProtection="1">
      <alignment horizontal="right"/>
      <protection locked="0"/>
    </xf>
    <xf numFmtId="5" fontId="117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65" fontId="118" fillId="0" borderId="0" xfId="22" applyNumberFormat="1" applyFont="1" applyBorder="1"/>
    <xf numFmtId="165" fontId="5" fillId="0" borderId="0" xfId="2012" applyNumberFormat="1" applyFont="1"/>
    <xf numFmtId="10" fontId="12" fillId="0" borderId="0" xfId="61" applyNumberFormat="1" applyFont="1" applyBorder="1" applyProtection="1"/>
    <xf numFmtId="10" fontId="4" fillId="0" borderId="0" xfId="61" applyNumberFormat="1" applyFont="1" applyBorder="1" applyProtection="1"/>
    <xf numFmtId="0" fontId="12" fillId="0" borderId="0" xfId="2012" applyFont="1" applyAlignment="1">
      <alignment horizontal="left"/>
    </xf>
    <xf numFmtId="10" fontId="5" fillId="0" borderId="0" xfId="2012" applyNumberFormat="1" applyFont="1" applyAlignment="1">
      <alignment horizontal="center"/>
    </xf>
    <xf numFmtId="0" fontId="16" fillId="0" borderId="0" xfId="2012" applyFont="1" applyProtection="1">
      <protection locked="0"/>
    </xf>
    <xf numFmtId="10" fontId="5" fillId="0" borderId="0" xfId="2012" applyNumberFormat="1" applyFont="1"/>
    <xf numFmtId="5" fontId="16" fillId="0" borderId="0" xfId="2012" applyNumberFormat="1" applyFont="1" applyAlignment="1" applyProtection="1">
      <alignment horizontal="center"/>
      <protection locked="0"/>
    </xf>
    <xf numFmtId="5" fontId="5" fillId="0" borderId="0" xfId="2012" applyNumberFormat="1" applyFont="1" applyAlignment="1">
      <alignment horizontal="center"/>
    </xf>
    <xf numFmtId="0" fontId="4" fillId="0" borderId="0" xfId="2012" applyFont="1" applyAlignment="1">
      <alignment horizontal="right"/>
    </xf>
    <xf numFmtId="10" fontId="12" fillId="0" borderId="0" xfId="61" applyNumberFormat="1" applyFont="1" applyAlignment="1">
      <alignment horizontal="right"/>
    </xf>
    <xf numFmtId="37" fontId="5" fillId="0" borderId="0" xfId="61" applyNumberFormat="1" applyFont="1" applyAlignment="1">
      <alignment horizontal="right"/>
    </xf>
    <xf numFmtId="10" fontId="5" fillId="0" borderId="0" xfId="61" applyNumberFormat="1" applyFont="1"/>
    <xf numFmtId="0" fontId="10" fillId="0" borderId="0" xfId="2012" applyFont="1" applyAlignment="1">
      <alignment horizontal="center"/>
    </xf>
    <xf numFmtId="1" fontId="5" fillId="0" borderId="0" xfId="2012" applyNumberFormat="1" applyFont="1" applyAlignment="1">
      <alignment horizontal="center"/>
    </xf>
    <xf numFmtId="177" fontId="5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 applyProtection="1">
      <alignment horizontal="right"/>
      <protection locked="0"/>
    </xf>
    <xf numFmtId="164" fontId="4" fillId="0" borderId="0" xfId="21" applyNumberFormat="1" applyFont="1" applyFill="1" applyBorder="1" applyAlignment="1">
      <alignment horizontal="right"/>
    </xf>
    <xf numFmtId="0" fontId="4" fillId="0" borderId="0" xfId="1965" applyFont="1"/>
    <xf numFmtId="0" fontId="29" fillId="0" borderId="0" xfId="1604" applyFont="1"/>
    <xf numFmtId="0" fontId="29" fillId="0" borderId="0" xfId="1604" applyFont="1" applyAlignment="1">
      <alignment horizontal="center"/>
    </xf>
    <xf numFmtId="0" fontId="27" fillId="0" borderId="0" xfId="1604" applyFont="1" applyAlignment="1">
      <alignment horizontal="center"/>
    </xf>
    <xf numFmtId="0" fontId="27" fillId="0" borderId="0" xfId="1604" applyFont="1"/>
    <xf numFmtId="165" fontId="29" fillId="0" borderId="0" xfId="45" applyNumberFormat="1" applyFont="1"/>
    <xf numFmtId="10" fontId="29" fillId="0" borderId="0" xfId="64" applyNumberFormat="1" applyFont="1" applyBorder="1"/>
    <xf numFmtId="43" fontId="29" fillId="0" borderId="0" xfId="1604" applyNumberFormat="1" applyFont="1"/>
    <xf numFmtId="164" fontId="4" fillId="0" borderId="0" xfId="21" applyNumberFormat="1" applyFont="1" applyFill="1" applyBorder="1" applyAlignment="1" applyProtection="1">
      <alignment horizontal="right"/>
      <protection locked="0"/>
    </xf>
    <xf numFmtId="0" fontId="4" fillId="0" borderId="0" xfId="1604" applyFont="1" applyAlignment="1">
      <alignment horizontal="center"/>
    </xf>
    <xf numFmtId="0" fontId="5" fillId="0" borderId="3" xfId="4" applyFont="1" applyBorder="1"/>
    <xf numFmtId="0" fontId="5" fillId="0" borderId="3" xfId="4" applyFont="1" applyBorder="1" applyAlignment="1">
      <alignment horizontal="center"/>
    </xf>
    <xf numFmtId="10" fontId="5" fillId="0" borderId="3" xfId="61" applyNumberFormat="1" applyFont="1" applyBorder="1" applyAlignment="1">
      <alignment horizontal="center"/>
    </xf>
    <xf numFmtId="44" fontId="5" fillId="0" borderId="0" xfId="4" applyNumberFormat="1" applyFont="1"/>
    <xf numFmtId="0" fontId="5" fillId="0" borderId="0" xfId="4" applyFont="1" applyAlignment="1">
      <alignment horizontal="left"/>
    </xf>
    <xf numFmtId="0" fontId="27" fillId="0" borderId="0" xfId="57" applyFont="1"/>
    <xf numFmtId="0" fontId="27" fillId="0" borderId="0" xfId="57" applyFont="1" applyAlignment="1">
      <alignment horizontal="center"/>
    </xf>
    <xf numFmtId="0" fontId="119" fillId="0" borderId="0" xfId="57" applyFont="1" applyAlignment="1">
      <alignment horizontal="center"/>
    </xf>
    <xf numFmtId="0" fontId="120" fillId="0" borderId="0" xfId="57" applyFont="1" applyAlignment="1">
      <alignment horizontal="center"/>
    </xf>
    <xf numFmtId="0" fontId="29" fillId="0" borderId="0" xfId="57" applyFont="1" applyAlignment="1">
      <alignment horizontal="center"/>
    </xf>
    <xf numFmtId="0" fontId="29" fillId="0" borderId="0" xfId="57" applyFont="1"/>
    <xf numFmtId="164" fontId="27" fillId="0" borderId="0" xfId="57" applyNumberFormat="1" applyFont="1"/>
    <xf numFmtId="164" fontId="29" fillId="0" borderId="0" xfId="57" applyNumberFormat="1" applyFont="1"/>
    <xf numFmtId="10" fontId="5" fillId="0" borderId="0" xfId="1043" applyNumberFormat="1" applyFont="1" applyBorder="1" applyAlignment="1">
      <alignment horizontal="right"/>
    </xf>
    <xf numFmtId="0" fontId="4" fillId="0" borderId="0" xfId="1604" applyFont="1"/>
    <xf numFmtId="17" fontId="119" fillId="0" borderId="0" xfId="1604" applyNumberFormat="1" applyFont="1" applyAlignment="1">
      <alignment horizontal="center"/>
    </xf>
    <xf numFmtId="0" fontId="5" fillId="0" borderId="0" xfId="4" applyFont="1"/>
    <xf numFmtId="0" fontId="4" fillId="0" borderId="0" xfId="4" applyFont="1"/>
    <xf numFmtId="164" fontId="5" fillId="0" borderId="0" xfId="21" quotePrefix="1" applyNumberFormat="1" applyFont="1" applyFill="1" applyBorder="1" applyAlignment="1">
      <alignment horizontal="right"/>
    </xf>
    <xf numFmtId="168" fontId="5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0" fontId="29" fillId="0" borderId="0" xfId="0" applyFont="1"/>
    <xf numFmtId="0" fontId="5" fillId="0" borderId="100" xfId="4" applyFont="1" applyBorder="1" applyAlignment="1">
      <alignment horizontal="center"/>
    </xf>
    <xf numFmtId="0" fontId="5" fillId="0" borderId="3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0" fontId="4" fillId="0" borderId="3" xfId="4" applyFont="1" applyBorder="1"/>
    <xf numFmtId="0" fontId="5" fillId="0" borderId="6" xfId="4" applyFont="1" applyBorder="1" applyAlignment="1">
      <alignment horizontal="center"/>
    </xf>
    <xf numFmtId="0" fontId="5" fillId="0" borderId="97" xfId="4" applyFont="1" applyBorder="1" applyAlignment="1">
      <alignment horizontal="center"/>
    </xf>
    <xf numFmtId="41" fontId="4" fillId="0" borderId="0" xfId="21" applyNumberFormat="1" applyFont="1" applyFill="1" applyBorder="1" applyAlignment="1">
      <alignment horizontal="center"/>
    </xf>
    <xf numFmtId="0" fontId="5" fillId="0" borderId="98" xfId="4" applyFont="1" applyBorder="1"/>
    <xf numFmtId="10" fontId="5" fillId="0" borderId="0" xfId="61" applyNumberFormat="1" applyFont="1" applyBorder="1" applyAlignment="1">
      <alignment horizontal="center"/>
    </xf>
    <xf numFmtId="165" fontId="27" fillId="0" borderId="0" xfId="1" applyNumberFormat="1" applyFont="1"/>
    <xf numFmtId="164" fontId="27" fillId="0" borderId="0" xfId="0" applyNumberFormat="1" applyFont="1"/>
    <xf numFmtId="0" fontId="27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4" fontId="5" fillId="0" borderId="3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88" xfId="2" applyNumberFormat="1" applyFont="1" applyFill="1" applyBorder="1" applyAlignment="1">
      <alignment vertical="center"/>
    </xf>
    <xf numFmtId="165" fontId="4" fillId="0" borderId="88" xfId="1" applyNumberFormat="1" applyFont="1" applyFill="1" applyBorder="1" applyAlignment="1">
      <alignment vertical="center"/>
    </xf>
    <xf numFmtId="165" fontId="4" fillId="0" borderId="0" xfId="2408" applyNumberFormat="1" applyFont="1" applyBorder="1" applyAlignment="1">
      <alignment vertical="center"/>
    </xf>
    <xf numFmtId="164" fontId="4" fillId="0" borderId="3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21" applyNumberFormat="1" applyFont="1" applyFill="1" applyBorder="1" applyAlignment="1">
      <alignment vertical="center"/>
    </xf>
    <xf numFmtId="164" fontId="5" fillId="0" borderId="88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47" xfId="2" applyNumberFormat="1" applyFont="1" applyFill="1" applyBorder="1" applyAlignment="1">
      <alignment vertical="center"/>
    </xf>
    <xf numFmtId="164" fontId="5" fillId="0" borderId="88" xfId="2" applyNumberFormat="1" applyFont="1" applyFill="1" applyBorder="1" applyAlignment="1">
      <alignment vertical="center"/>
    </xf>
    <xf numFmtId="0" fontId="10" fillId="0" borderId="5" xfId="1604" applyFont="1" applyBorder="1" applyAlignment="1">
      <alignment horizontal="center"/>
    </xf>
    <xf numFmtId="37" fontId="4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110" xfId="0" applyNumberFormat="1" applyFont="1" applyBorder="1" applyAlignment="1">
      <alignment vertical="center"/>
    </xf>
    <xf numFmtId="37" fontId="5" fillId="0" borderId="110" xfId="0" quotePrefix="1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1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88" xfId="12" applyNumberFormat="1" applyFont="1" applyBorder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114" xfId="0" applyNumberFormat="1" applyFont="1" applyBorder="1" applyAlignment="1">
      <alignment horizontal="center" vertical="center"/>
    </xf>
    <xf numFmtId="37" fontId="5" fillId="0" borderId="48" xfId="12" applyNumberFormat="1" applyFont="1" applyBorder="1" applyAlignment="1">
      <alignment horizontal="center" vertical="center"/>
    </xf>
    <xf numFmtId="37" fontId="5" fillId="0" borderId="109" xfId="0" applyNumberFormat="1" applyFont="1" applyBorder="1" applyAlignment="1">
      <alignment horizontal="center" vertical="center"/>
    </xf>
    <xf numFmtId="37" fontId="4" fillId="0" borderId="111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7" fillId="0" borderId="88" xfId="12" applyNumberFormat="1" applyFont="1" applyBorder="1" applyAlignment="1">
      <alignment horizontal="left" vertical="center"/>
    </xf>
    <xf numFmtId="37" fontId="4" fillId="0" borderId="88" xfId="12" applyNumberFormat="1" applyFont="1" applyBorder="1" applyAlignment="1">
      <alignment horizontal="center" vertical="center"/>
    </xf>
    <xf numFmtId="37" fontId="4" fillId="0" borderId="6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8" fontId="4" fillId="0" borderId="111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88" xfId="0" applyNumberFormat="1" applyFont="1" applyBorder="1" applyAlignment="1">
      <alignment vertical="center"/>
    </xf>
    <xf numFmtId="37" fontId="4" fillId="0" borderId="6" xfId="0" applyNumberFormat="1" applyFont="1" applyBorder="1" applyAlignment="1">
      <alignment vertical="center"/>
    </xf>
    <xf numFmtId="164" fontId="5" fillId="0" borderId="47" xfId="2" applyNumberFormat="1" applyFont="1" applyBorder="1" applyAlignment="1">
      <alignment vertical="center"/>
    </xf>
    <xf numFmtId="37" fontId="4" fillId="0" borderId="6" xfId="0" applyNumberFormat="1" applyFont="1" applyBorder="1" applyAlignment="1">
      <alignment horizontal="center" vertical="center"/>
    </xf>
    <xf numFmtId="37" fontId="4" fillId="0" borderId="114" xfId="0" applyNumberFormat="1" applyFont="1" applyBorder="1" applyAlignment="1">
      <alignment vertical="center"/>
    </xf>
    <xf numFmtId="37" fontId="4" fillId="0" borderId="48" xfId="1" applyNumberFormat="1" applyFont="1" applyBorder="1" applyAlignment="1">
      <alignment vertical="center"/>
    </xf>
    <xf numFmtId="0" fontId="5" fillId="0" borderId="99" xfId="0" applyFont="1" applyBorder="1" applyAlignment="1">
      <alignment horizontal="center" vertical="center"/>
    </xf>
    <xf numFmtId="37" fontId="4" fillId="0" borderId="109" xfId="0" applyNumberFormat="1" applyFont="1" applyBorder="1" applyAlignment="1">
      <alignment vertical="center"/>
    </xf>
    <xf numFmtId="37" fontId="4" fillId="0" borderId="5" xfId="0" applyNumberFormat="1" applyFont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7" fontId="12" fillId="0" borderId="5" xfId="0" applyNumberFormat="1" applyFont="1" applyBorder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37" fontId="7" fillId="0" borderId="6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4" fillId="0" borderId="49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6107" applyFont="1"/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5" fontId="8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62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4" fillId="0" borderId="0" xfId="3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0" fontId="4" fillId="0" borderId="0" xfId="3" quotePrefix="1" applyNumberFormat="1" applyFont="1" applyBorder="1" applyAlignment="1">
      <alignment horizontal="right"/>
    </xf>
    <xf numFmtId="0" fontId="29" fillId="0" borderId="3" xfId="1604" applyFont="1" applyBorder="1" applyAlignment="1">
      <alignment horizontal="center"/>
    </xf>
    <xf numFmtId="0" fontId="29" fillId="0" borderId="3" xfId="1604" applyFont="1" applyBorder="1"/>
    <xf numFmtId="0" fontId="29" fillId="0" borderId="115" xfId="1604" applyFont="1" applyBorder="1"/>
    <xf numFmtId="0" fontId="29" fillId="0" borderId="110" xfId="1604" applyFont="1" applyBorder="1"/>
    <xf numFmtId="0" fontId="119" fillId="0" borderId="0" xfId="1604" applyFont="1" applyAlignment="1">
      <alignment horizontal="center"/>
    </xf>
    <xf numFmtId="0" fontId="27" fillId="0" borderId="0" xfId="1609" applyFont="1"/>
    <xf numFmtId="0" fontId="122" fillId="0" borderId="0" xfId="1604" applyFont="1"/>
    <xf numFmtId="0" fontId="29" fillId="0" borderId="2" xfId="1604" applyFont="1" applyBorder="1" applyAlignment="1">
      <alignment horizontal="center"/>
    </xf>
    <xf numFmtId="17" fontId="29" fillId="0" borderId="97" xfId="1604" applyNumberFormat="1" applyFont="1" applyBorder="1" applyAlignment="1">
      <alignment horizontal="center"/>
    </xf>
    <xf numFmtId="17" fontId="29" fillId="0" borderId="100" xfId="1604" applyNumberFormat="1" applyFont="1" applyBorder="1" applyAlignment="1">
      <alignment horizontal="center"/>
    </xf>
    <xf numFmtId="17" fontId="119" fillId="0" borderId="2" xfId="1604" applyNumberFormat="1" applyFont="1" applyBorder="1" applyAlignment="1">
      <alignment horizontal="center"/>
    </xf>
    <xf numFmtId="17" fontId="119" fillId="0" borderId="3" xfId="1604" applyNumberFormat="1" applyFont="1" applyBorder="1" applyAlignment="1">
      <alignment horizontal="center"/>
    </xf>
    <xf numFmtId="0" fontId="29" fillId="0" borderId="2" xfId="1604" applyFont="1" applyBorder="1"/>
    <xf numFmtId="164" fontId="4" fillId="0" borderId="3" xfId="21" applyNumberFormat="1" applyFont="1" applyFill="1" applyBorder="1" applyAlignment="1" applyProtection="1">
      <alignment horizontal="right"/>
      <protection locked="0"/>
    </xf>
    <xf numFmtId="164" fontId="4" fillId="0" borderId="2" xfId="21" applyNumberFormat="1" applyFont="1" applyFill="1" applyBorder="1" applyAlignment="1" applyProtection="1">
      <alignment horizontal="right"/>
      <protection locked="0"/>
    </xf>
    <xf numFmtId="10" fontId="27" fillId="3" borderId="97" xfId="64" applyNumberFormat="1" applyFont="1" applyFill="1" applyBorder="1"/>
    <xf numFmtId="10" fontId="27" fillId="3" borderId="100" xfId="64" applyNumberFormat="1" applyFont="1" applyFill="1" applyBorder="1"/>
    <xf numFmtId="0" fontId="29" fillId="0" borderId="98" xfId="1604" applyFont="1" applyBorder="1"/>
    <xf numFmtId="10" fontId="27" fillId="3" borderId="100" xfId="1604" applyNumberFormat="1" applyFont="1" applyFill="1" applyBorder="1"/>
    <xf numFmtId="0" fontId="29" fillId="0" borderId="88" xfId="1604" applyFont="1" applyBorder="1" applyAlignment="1">
      <alignment horizontal="center"/>
    </xf>
    <xf numFmtId="0" fontId="119" fillId="0" borderId="88" xfId="1604" applyFont="1" applyBorder="1" applyAlignment="1">
      <alignment horizontal="center"/>
    </xf>
    <xf numFmtId="164" fontId="29" fillId="0" borderId="88" xfId="1604" applyNumberFormat="1" applyFont="1" applyBorder="1"/>
    <xf numFmtId="0" fontId="29" fillId="0" borderId="48" xfId="1604" applyFont="1" applyBorder="1"/>
    <xf numFmtId="0" fontId="29" fillId="0" borderId="85" xfId="1604" applyFont="1" applyBorder="1"/>
    <xf numFmtId="0" fontId="5" fillId="0" borderId="113" xfId="4" applyFont="1" applyBorder="1" applyAlignment="1">
      <alignment horizontal="center"/>
    </xf>
    <xf numFmtId="10" fontId="5" fillId="0" borderId="6" xfId="61" applyNumberFormat="1" applyFont="1" applyBorder="1" applyAlignment="1">
      <alignment horizontal="center"/>
    </xf>
    <xf numFmtId="165" fontId="4" fillId="0" borderId="0" xfId="1" applyNumberFormat="1" applyFont="1" applyFill="1"/>
    <xf numFmtId="165" fontId="4" fillId="0" borderId="0" xfId="1" applyNumberFormat="1" applyFont="1" applyFill="1" applyBorder="1" applyAlignment="1" applyProtection="1">
      <alignment horizontal="right"/>
      <protection locked="0"/>
    </xf>
    <xf numFmtId="0" fontId="5" fillId="0" borderId="109" xfId="4" applyFont="1" applyBorder="1" applyAlignment="1">
      <alignment horizontal="center"/>
    </xf>
    <xf numFmtId="167" fontId="4" fillId="0" borderId="3" xfId="1" applyNumberFormat="1" applyFont="1" applyFill="1" applyBorder="1" applyAlignment="1">
      <alignment horizontal="right"/>
    </xf>
    <xf numFmtId="175" fontId="5" fillId="0" borderId="47" xfId="48" applyNumberFormat="1" applyFont="1" applyBorder="1" applyAlignment="1">
      <alignment horizontal="right"/>
    </xf>
    <xf numFmtId="165" fontId="4" fillId="0" borderId="97" xfId="1" applyNumberFormat="1" applyFont="1" applyFill="1" applyBorder="1" applyAlignment="1" applyProtection="1">
      <alignment horizontal="right"/>
      <protection locked="0"/>
    </xf>
    <xf numFmtId="165" fontId="4" fillId="0" borderId="100" xfId="1" applyNumberFormat="1" applyFont="1" applyFill="1" applyBorder="1" applyAlignment="1" applyProtection="1">
      <alignment horizontal="right"/>
      <protection locked="0"/>
    </xf>
    <xf numFmtId="165" fontId="4" fillId="0" borderId="100" xfId="1" applyNumberFormat="1" applyFont="1" applyFill="1" applyBorder="1" applyAlignment="1">
      <alignment vertical="center"/>
    </xf>
    <xf numFmtId="10" fontId="4" fillId="0" borderId="0" xfId="2012" applyNumberFormat="1" applyFont="1" applyAlignment="1">
      <alignment horizontal="right"/>
    </xf>
    <xf numFmtId="10" fontId="4" fillId="0" borderId="0" xfId="61" applyNumberFormat="1" applyFont="1" applyFill="1" applyAlignment="1">
      <alignment horizontal="right"/>
    </xf>
    <xf numFmtId="177" fontId="4" fillId="0" borderId="0" xfId="2012" applyNumberFormat="1" applyFont="1"/>
    <xf numFmtId="164" fontId="4" fillId="0" borderId="0" xfId="21" applyNumberFormat="1" applyFont="1" applyFill="1" applyBorder="1" applyAlignment="1" applyProtection="1">
      <alignment horizontal="right"/>
    </xf>
    <xf numFmtId="164" fontId="5" fillId="0" borderId="121" xfId="21" applyNumberFormat="1" applyFont="1" applyFill="1" applyBorder="1" applyAlignment="1" applyProtection="1">
      <alignment horizontal="right"/>
      <protection locked="0"/>
    </xf>
    <xf numFmtId="164" fontId="5" fillId="0" borderId="122" xfId="21" applyNumberFormat="1" applyFont="1" applyFill="1" applyBorder="1" applyAlignment="1" applyProtection="1">
      <alignment horizontal="right"/>
      <protection locked="0"/>
    </xf>
    <xf numFmtId="164" fontId="5" fillId="0" borderId="47" xfId="21" applyNumberFormat="1" applyFont="1" applyFill="1" applyBorder="1" applyAlignment="1" applyProtection="1">
      <alignment horizontal="right"/>
      <protection locked="0"/>
    </xf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5" fontId="5" fillId="0" borderId="0" xfId="61" applyNumberFormat="1" applyFont="1" applyBorder="1" applyAlignment="1">
      <alignment horizontal="right"/>
    </xf>
    <xf numFmtId="0" fontId="4" fillId="0" borderId="41" xfId="2012" applyFont="1" applyBorder="1" applyAlignment="1">
      <alignment horizontal="center"/>
    </xf>
    <xf numFmtId="164" fontId="5" fillId="0" borderId="0" xfId="21" applyNumberFormat="1" applyFont="1" applyFill="1" applyBorder="1" applyAlignment="1" applyProtection="1">
      <alignment horizontal="center"/>
    </xf>
    <xf numFmtId="6" fontId="4" fillId="0" borderId="0" xfId="4" applyNumberFormat="1" applyFont="1"/>
    <xf numFmtId="49" fontId="5" fillId="0" borderId="0" xfId="4" applyNumberFormat="1" applyFont="1" applyAlignment="1">
      <alignment horizontal="center" vertical="center"/>
    </xf>
    <xf numFmtId="0" fontId="4" fillId="0" borderId="0" xfId="1965" applyFont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1965" applyFont="1" applyAlignment="1">
      <alignment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0" fontId="5" fillId="0" borderId="0" xfId="2012" applyFont="1" applyAlignment="1" applyProtection="1">
      <alignment vertical="center"/>
      <protection locked="0"/>
    </xf>
    <xf numFmtId="0" fontId="5" fillId="0" borderId="0" xfId="1965" applyFont="1" applyAlignment="1">
      <alignment vertical="center"/>
    </xf>
    <xf numFmtId="0" fontId="29" fillId="0" borderId="6" xfId="1604" applyFont="1" applyBorder="1" applyAlignment="1">
      <alignment horizontal="center" vertical="center"/>
    </xf>
    <xf numFmtId="0" fontId="27" fillId="0" borderId="6" xfId="1604" applyFont="1" applyBorder="1" applyAlignment="1">
      <alignment horizontal="center" vertical="center"/>
    </xf>
    <xf numFmtId="0" fontId="29" fillId="0" borderId="0" xfId="1604" applyFont="1" applyAlignment="1">
      <alignment horizontal="center" vertical="center"/>
    </xf>
    <xf numFmtId="0" fontId="30" fillId="0" borderId="0" xfId="1604" applyFont="1" applyAlignment="1">
      <alignment horizontal="center" vertical="center"/>
    </xf>
    <xf numFmtId="5" fontId="29" fillId="0" borderId="0" xfId="1604" applyNumberFormat="1" applyFont="1" applyAlignment="1">
      <alignment horizontal="center" vertical="center"/>
    </xf>
    <xf numFmtId="0" fontId="29" fillId="0" borderId="5" xfId="1604" applyFont="1" applyBorder="1" applyAlignment="1">
      <alignment horizontal="center" vertical="center"/>
    </xf>
    <xf numFmtId="0" fontId="27" fillId="0" borderId="5" xfId="1604" applyFont="1" applyBorder="1" applyAlignment="1">
      <alignment horizontal="center" vertical="center"/>
    </xf>
    <xf numFmtId="0" fontId="27" fillId="0" borderId="0" xfId="57" applyFont="1" applyAlignment="1">
      <alignment horizontal="center" vertical="center"/>
    </xf>
    <xf numFmtId="0" fontId="30" fillId="0" borderId="0" xfId="57" applyFont="1" applyAlignment="1">
      <alignment horizontal="center" vertical="center"/>
    </xf>
    <xf numFmtId="0" fontId="29" fillId="0" borderId="0" xfId="57" applyFont="1" applyAlignment="1">
      <alignment horizontal="center" vertical="center"/>
    </xf>
    <xf numFmtId="0" fontId="10" fillId="0" borderId="0" xfId="37925" applyFont="1" applyAlignment="1">
      <alignment horizontal="center" vertical="center"/>
    </xf>
    <xf numFmtId="0" fontId="4" fillId="0" borderId="0" xfId="37925" applyFont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0" fontId="27" fillId="0" borderId="0" xfId="3" applyNumberFormat="1" applyFont="1"/>
    <xf numFmtId="164" fontId="4" fillId="0" borderId="0" xfId="2" applyNumberFormat="1" applyFont="1" applyBorder="1" applyAlignment="1">
      <alignment horizontal="right"/>
    </xf>
    <xf numFmtId="165" fontId="4" fillId="0" borderId="83" xfId="1" applyNumberFormat="1" applyFont="1" applyFill="1" applyBorder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horizontal="right" vertical="center"/>
    </xf>
    <xf numFmtId="10" fontId="4" fillId="2" borderId="0" xfId="61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vertical="center"/>
    </xf>
    <xf numFmtId="10" fontId="4" fillId="3" borderId="0" xfId="61" applyNumberFormat="1" applyFont="1" applyFill="1" applyAlignment="1">
      <alignment horizontal="right" vertical="center"/>
    </xf>
    <xf numFmtId="10" fontId="4" fillId="3" borderId="0" xfId="2012" applyNumberFormat="1" applyFont="1" applyFill="1" applyAlignment="1">
      <alignment horizontal="right" vertical="center"/>
    </xf>
    <xf numFmtId="0" fontId="26" fillId="0" borderId="0" xfId="2012" applyFont="1" applyAlignment="1" applyProtection="1">
      <alignment vertical="center"/>
      <protection locked="0"/>
    </xf>
    <xf numFmtId="10" fontId="4" fillId="0" borderId="0" xfId="2012" applyNumberFormat="1" applyFont="1" applyAlignment="1">
      <alignment horizontal="right" vertical="center"/>
    </xf>
    <xf numFmtId="177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0" fontId="12" fillId="0" borderId="0" xfId="2012" applyFont="1" applyAlignment="1">
      <alignment vertical="center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5" fontId="16" fillId="0" borderId="0" xfId="2012" applyNumberFormat="1" applyFont="1" applyAlignment="1" applyProtection="1">
      <alignment horizontal="right" vertical="center"/>
      <protection locked="0"/>
    </xf>
    <xf numFmtId="164" fontId="5" fillId="0" borderId="0" xfId="21" applyNumberFormat="1" applyFont="1" applyBorder="1" applyAlignment="1">
      <alignment horizontal="right" vertical="center"/>
    </xf>
    <xf numFmtId="164" fontId="4" fillId="0" borderId="0" xfId="2012" applyNumberFormat="1" applyFont="1" applyAlignment="1" applyProtection="1">
      <alignment horizontal="right" vertical="center"/>
      <protection locked="0"/>
    </xf>
    <xf numFmtId="5" fontId="26" fillId="0" borderId="0" xfId="2012" applyNumberFormat="1" applyFont="1" applyAlignment="1" applyProtection="1">
      <alignment horizontal="right" vertical="center"/>
      <protection locked="0"/>
    </xf>
    <xf numFmtId="5" fontId="117" fillId="0" borderId="0" xfId="2012" applyNumberFormat="1" applyFont="1" applyAlignment="1" applyProtection="1">
      <alignment horizontal="right" vertical="center"/>
      <protection locked="0"/>
    </xf>
    <xf numFmtId="10" fontId="5" fillId="0" borderId="0" xfId="61" applyNumberFormat="1" applyFont="1" applyBorder="1" applyAlignment="1">
      <alignment vertical="center"/>
    </xf>
    <xf numFmtId="10" fontId="4" fillId="2" borderId="0" xfId="1043" applyNumberFormat="1" applyFont="1" applyFill="1" applyBorder="1" applyAlignment="1">
      <alignment horizontal="right"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4" fontId="4" fillId="2" borderId="0" xfId="21" applyNumberFormat="1" applyFont="1" applyFill="1" applyAlignment="1">
      <alignment horizontal="center" vertical="center"/>
    </xf>
    <xf numFmtId="165" fontId="4" fillId="2" borderId="50" xfId="1" applyNumberFormat="1" applyFont="1" applyFill="1" applyBorder="1" applyAlignment="1">
      <alignment horizontal="center" vertical="center"/>
    </xf>
    <xf numFmtId="165" fontId="118" fillId="0" borderId="0" xfId="22" applyNumberFormat="1" applyFont="1" applyBorder="1" applyAlignment="1">
      <alignment vertical="center"/>
    </xf>
    <xf numFmtId="164" fontId="4" fillId="0" borderId="0" xfId="48" applyNumberFormat="1" applyFont="1" applyAlignment="1">
      <alignment vertical="center"/>
    </xf>
    <xf numFmtId="165" fontId="5" fillId="0" borderId="0" xfId="2012" applyNumberFormat="1" applyFont="1" applyAlignment="1">
      <alignment vertical="center"/>
    </xf>
    <xf numFmtId="10" fontId="4" fillId="0" borderId="50" xfId="2012" applyNumberFormat="1" applyFont="1" applyBorder="1" applyAlignment="1">
      <alignment horizontal="right" vertical="center"/>
    </xf>
    <xf numFmtId="10" fontId="12" fillId="0" borderId="0" xfId="61" applyNumberFormat="1" applyFont="1" applyBorder="1" applyAlignment="1" applyProtection="1">
      <alignment vertical="center"/>
    </xf>
    <xf numFmtId="164" fontId="4" fillId="0" borderId="0" xfId="48" applyNumberFormat="1" applyFont="1" applyBorder="1" applyAlignment="1">
      <alignment horizontal="right" vertical="center"/>
    </xf>
    <xf numFmtId="10" fontId="4" fillId="2" borderId="50" xfId="2012" applyNumberFormat="1" applyFont="1" applyFill="1" applyBorder="1" applyAlignment="1">
      <alignment horizontal="right" vertical="center"/>
    </xf>
    <xf numFmtId="42" fontId="4" fillId="0" borderId="0" xfId="2012" applyNumberFormat="1" applyFont="1" applyAlignment="1">
      <alignment horizontal="right" vertical="center"/>
    </xf>
    <xf numFmtId="164" fontId="4" fillId="2" borderId="0" xfId="2" applyNumberFormat="1" applyFont="1" applyFill="1" applyAlignment="1">
      <alignment vertical="center"/>
    </xf>
    <xf numFmtId="10" fontId="4" fillId="3" borderId="0" xfId="2012" applyNumberFormat="1" applyFont="1" applyFill="1" applyAlignment="1">
      <alignment vertical="center"/>
    </xf>
    <xf numFmtId="10" fontId="4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center" vertical="center"/>
    </xf>
    <xf numFmtId="10" fontId="5" fillId="0" borderId="0" xfId="2012" applyNumberFormat="1" applyFont="1" applyAlignment="1">
      <alignment vertical="center"/>
    </xf>
    <xf numFmtId="164" fontId="4" fillId="2" borderId="0" xfId="21" applyNumberFormat="1" applyFont="1" applyFill="1" applyBorder="1" applyAlignment="1">
      <alignment vertical="center"/>
    </xf>
    <xf numFmtId="5" fontId="16" fillId="0" borderId="0" xfId="2012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Fill="1" applyBorder="1" applyAlignment="1">
      <alignment vertical="center"/>
    </xf>
    <xf numFmtId="5" fontId="5" fillId="0" borderId="0" xfId="2012" applyNumberFormat="1" applyFont="1" applyAlignment="1">
      <alignment horizontal="center" vertical="center"/>
    </xf>
    <xf numFmtId="164" fontId="4" fillId="3" borderId="0" xfId="21" applyNumberFormat="1" applyFont="1" applyFill="1" applyBorder="1" applyAlignment="1">
      <alignment vertical="center"/>
    </xf>
    <xf numFmtId="0" fontId="4" fillId="0" borderId="0" xfId="2012" applyFont="1" applyAlignment="1">
      <alignment horizontal="right" vertical="center"/>
    </xf>
    <xf numFmtId="166" fontId="4" fillId="2" borderId="50" xfId="2012" applyNumberFormat="1" applyFont="1" applyFill="1" applyBorder="1" applyAlignment="1">
      <alignment horizontal="right" vertical="center"/>
    </xf>
    <xf numFmtId="10" fontId="12" fillId="0" borderId="0" xfId="61" applyNumberFormat="1" applyFont="1" applyAlignment="1">
      <alignment horizontal="right" vertical="center"/>
    </xf>
    <xf numFmtId="164" fontId="4" fillId="0" borderId="0" xfId="21" applyNumberFormat="1" applyFont="1" applyFill="1" applyBorder="1" applyAlignment="1">
      <alignment horizontal="right" vertical="center"/>
    </xf>
    <xf numFmtId="37" fontId="5" fillId="0" borderId="0" xfId="61" applyNumberFormat="1" applyFont="1" applyAlignment="1">
      <alignment horizontal="right" vertical="center"/>
    </xf>
    <xf numFmtId="164" fontId="4" fillId="0" borderId="0" xfId="2012" applyNumberFormat="1" applyFont="1" applyAlignment="1">
      <alignment horizontal="right" vertical="center"/>
    </xf>
    <xf numFmtId="175" fontId="4" fillId="0" borderId="2" xfId="21" applyNumberFormat="1" applyFont="1" applyFill="1" applyBorder="1" applyAlignment="1" applyProtection="1">
      <alignment horizontal="right" vertical="center"/>
      <protection locked="0"/>
    </xf>
    <xf numFmtId="164" fontId="4" fillId="0" borderId="0" xfId="21" applyNumberFormat="1" applyFont="1" applyFill="1" applyBorder="1" applyAlignment="1" applyProtection="1">
      <alignment horizontal="right" vertical="center"/>
      <protection locked="0"/>
    </xf>
    <xf numFmtId="164" fontId="4" fillId="0" borderId="3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1" applyNumberFormat="1" applyFont="1" applyFill="1" applyBorder="1" applyAlignment="1" applyProtection="1">
      <alignment horizontal="right" vertical="center"/>
      <protection locked="0"/>
    </xf>
    <xf numFmtId="0" fontId="29" fillId="0" borderId="88" xfId="1604" applyFont="1" applyBorder="1" applyAlignment="1">
      <alignment horizontal="center" vertical="center"/>
    </xf>
    <xf numFmtId="0" fontId="29" fillId="0" borderId="2" xfId="1604" applyFont="1" applyBorder="1" applyAlignment="1">
      <alignment vertical="center"/>
    </xf>
    <xf numFmtId="0" fontId="29" fillId="0" borderId="0" xfId="1604" applyFont="1" applyAlignment="1">
      <alignment vertical="center"/>
    </xf>
    <xf numFmtId="0" fontId="29" fillId="0" borderId="3" xfId="1604" applyFont="1" applyBorder="1" applyAlignment="1">
      <alignment vertical="center"/>
    </xf>
    <xf numFmtId="0" fontId="29" fillId="0" borderId="88" xfId="1604" applyFont="1" applyBorder="1" applyAlignment="1">
      <alignment vertical="center"/>
    </xf>
    <xf numFmtId="164" fontId="4" fillId="2" borderId="2" xfId="21" applyNumberFormat="1" applyFont="1" applyFill="1" applyBorder="1" applyAlignment="1" applyProtection="1">
      <alignment horizontal="right" vertical="center"/>
      <protection locked="0"/>
    </xf>
    <xf numFmtId="165" fontId="4" fillId="2" borderId="3" xfId="1" applyNumberFormat="1" applyFont="1" applyFill="1" applyBorder="1" applyAlignment="1" applyProtection="1">
      <alignment horizontal="right" vertical="center"/>
      <protection locked="0"/>
    </xf>
    <xf numFmtId="165" fontId="4" fillId="2" borderId="2" xfId="2035" applyNumberFormat="1" applyFont="1" applyFill="1" applyBorder="1" applyAlignment="1" applyProtection="1">
      <alignment horizontal="right" vertical="center"/>
      <protection locked="0"/>
    </xf>
    <xf numFmtId="165" fontId="4" fillId="2" borderId="0" xfId="2035" applyNumberFormat="1" applyFont="1" applyFill="1" applyBorder="1" applyAlignment="1" applyProtection="1">
      <alignment horizontal="right" vertical="center"/>
      <protection locked="0"/>
    </xf>
    <xf numFmtId="165" fontId="4" fillId="2" borderId="3" xfId="2035" applyNumberFormat="1" applyFont="1" applyFill="1" applyBorder="1" applyAlignment="1" applyProtection="1">
      <alignment horizontal="right" vertical="center"/>
      <protection locked="0"/>
    </xf>
    <xf numFmtId="164" fontId="4" fillId="0" borderId="88" xfId="21" applyNumberFormat="1" applyFont="1" applyFill="1" applyBorder="1" applyAlignment="1" applyProtection="1">
      <alignment horizontal="right" vertical="center"/>
      <protection locked="0"/>
    </xf>
    <xf numFmtId="165" fontId="29" fillId="0" borderId="2" xfId="45" applyNumberFormat="1" applyFont="1" applyFill="1" applyBorder="1" applyAlignment="1">
      <alignment vertical="center"/>
    </xf>
    <xf numFmtId="165" fontId="29" fillId="0" borderId="0" xfId="45" applyNumberFormat="1" applyFont="1" applyFill="1" applyBorder="1" applyAlignment="1">
      <alignment vertical="center"/>
    </xf>
    <xf numFmtId="165" fontId="29" fillId="0" borderId="3" xfId="45" applyNumberFormat="1" applyFont="1" applyFill="1" applyBorder="1" applyAlignment="1">
      <alignment vertical="center"/>
    </xf>
    <xf numFmtId="1" fontId="29" fillId="0" borderId="3" xfId="1604" applyNumberFormat="1" applyFont="1" applyBorder="1" applyAlignment="1">
      <alignment vertical="center"/>
    </xf>
    <xf numFmtId="164" fontId="29" fillId="0" borderId="88" xfId="45" applyNumberFormat="1" applyFont="1" applyBorder="1" applyAlignment="1">
      <alignment vertical="center"/>
    </xf>
    <xf numFmtId="165" fontId="4" fillId="0" borderId="0" xfId="2035" applyNumberFormat="1" applyFont="1" applyFill="1" applyBorder="1" applyAlignment="1" applyProtection="1">
      <alignment horizontal="right" vertical="center"/>
      <protection locked="0"/>
    </xf>
    <xf numFmtId="165" fontId="4" fillId="0" borderId="3" xfId="2035" applyNumberFormat="1" applyFont="1" applyFill="1" applyBorder="1" applyAlignment="1" applyProtection="1">
      <alignment horizontal="right" vertical="center"/>
      <protection locked="0"/>
    </xf>
    <xf numFmtId="165" fontId="4" fillId="0" borderId="88" xfId="1" applyNumberFormat="1" applyFont="1" applyFill="1" applyBorder="1" applyAlignment="1" applyProtection="1">
      <alignment horizontal="right" vertical="center"/>
      <protection locked="0"/>
    </xf>
    <xf numFmtId="165" fontId="4" fillId="2" borderId="2" xfId="1" applyNumberFormat="1" applyFont="1" applyFill="1" applyBorder="1" applyAlignment="1" applyProtection="1">
      <alignment horizontal="right" vertical="center"/>
      <protection locked="0"/>
    </xf>
    <xf numFmtId="165" fontId="27" fillId="2" borderId="0" xfId="45" applyNumberFormat="1" applyFont="1" applyFill="1" applyBorder="1" applyAlignment="1">
      <alignment vertical="center"/>
    </xf>
    <xf numFmtId="165" fontId="27" fillId="2" borderId="3" xfId="45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 applyProtection="1">
      <alignment horizontal="right" vertical="center"/>
      <protection locked="0"/>
    </xf>
    <xf numFmtId="1" fontId="4" fillId="2" borderId="0" xfId="21" applyNumberFormat="1" applyFont="1" applyFill="1" applyBorder="1" applyAlignment="1" applyProtection="1">
      <alignment horizontal="right" vertical="center"/>
      <protection locked="0"/>
    </xf>
    <xf numFmtId="1" fontId="4" fillId="2" borderId="3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076" applyNumberFormat="1" applyFont="1" applyFill="1" applyBorder="1" applyAlignment="1" applyProtection="1">
      <alignment horizontal="right" vertical="center"/>
      <protection locked="0"/>
    </xf>
    <xf numFmtId="1" fontId="29" fillId="0" borderId="0" xfId="45" applyNumberFormat="1" applyFont="1" applyFill="1" applyBorder="1" applyAlignment="1">
      <alignment vertical="center"/>
    </xf>
    <xf numFmtId="1" fontId="29" fillId="0" borderId="3" xfId="45" applyNumberFormat="1" applyFont="1" applyFill="1" applyBorder="1" applyAlignment="1">
      <alignment vertical="center"/>
    </xf>
    <xf numFmtId="164" fontId="4" fillId="0" borderId="0" xfId="2076" applyNumberFormat="1" applyFont="1" applyFill="1" applyBorder="1" applyAlignment="1" applyProtection="1">
      <alignment horizontal="right" vertical="center"/>
      <protection locked="0"/>
    </xf>
    <xf numFmtId="164" fontId="4" fillId="0" borderId="3" xfId="2076" applyNumberFormat="1" applyFont="1" applyFill="1" applyBorder="1" applyAlignment="1" applyProtection="1">
      <alignment horizontal="right" vertical="center"/>
      <protection locked="0"/>
    </xf>
    <xf numFmtId="165" fontId="27" fillId="2" borderId="2" xfId="1" applyNumberFormat="1" applyFont="1" applyFill="1" applyBorder="1" applyAlignment="1">
      <alignment vertical="center"/>
    </xf>
    <xf numFmtId="164" fontId="5" fillId="0" borderId="0" xfId="21" applyNumberFormat="1" applyFont="1" applyFill="1" applyBorder="1" applyAlignment="1" applyProtection="1">
      <alignment horizontal="right" vertical="center"/>
      <protection locked="0"/>
    </xf>
    <xf numFmtId="164" fontId="4" fillId="0" borderId="123" xfId="21" applyNumberFormat="1" applyFont="1" applyFill="1" applyBorder="1" applyAlignment="1" applyProtection="1">
      <alignment horizontal="right" vertical="center"/>
      <protection locked="0"/>
    </xf>
    <xf numFmtId="164" fontId="4" fillId="0" borderId="124" xfId="21" applyNumberFormat="1" applyFont="1" applyFill="1" applyBorder="1" applyAlignment="1" applyProtection="1">
      <alignment horizontal="right" vertical="center"/>
      <protection locked="0"/>
    </xf>
    <xf numFmtId="164" fontId="4" fillId="0" borderId="2" xfId="2" applyNumberFormat="1" applyFont="1" applyFill="1" applyBorder="1" applyAlignment="1" applyProtection="1">
      <alignment horizontal="right" vertical="center"/>
      <protection locked="0"/>
    </xf>
    <xf numFmtId="164" fontId="4" fillId="0" borderId="0" xfId="2" applyNumberFormat="1" applyFont="1" applyFill="1" applyBorder="1" applyAlignment="1" applyProtection="1">
      <alignment horizontal="right" vertical="center"/>
      <protection locked="0"/>
    </xf>
    <xf numFmtId="164" fontId="4" fillId="0" borderId="3" xfId="2" applyNumberFormat="1" applyFont="1" applyFill="1" applyBorder="1" applyAlignment="1" applyProtection="1">
      <alignment horizontal="right" vertical="center"/>
      <protection locked="0"/>
    </xf>
    <xf numFmtId="164" fontId="4" fillId="0" borderId="88" xfId="2" applyNumberFormat="1" applyFont="1" applyFill="1" applyBorder="1" applyAlignment="1" applyProtection="1">
      <alignment horizontal="right" vertical="center"/>
      <protection locked="0"/>
    </xf>
    <xf numFmtId="0" fontId="27" fillId="0" borderId="2" xfId="1604" applyFont="1" applyBorder="1" applyAlignment="1">
      <alignment vertical="center"/>
    </xf>
    <xf numFmtId="0" fontId="27" fillId="0" borderId="0" xfId="1604" applyFont="1" applyAlignment="1">
      <alignment vertical="center"/>
    </xf>
    <xf numFmtId="0" fontId="27" fillId="0" borderId="3" xfId="1604" applyFont="1" applyBorder="1" applyAlignment="1">
      <alignment vertical="center"/>
    </xf>
    <xf numFmtId="164" fontId="29" fillId="0" borderId="88" xfId="1604" applyNumberFormat="1" applyFont="1" applyBorder="1" applyAlignment="1">
      <alignment vertical="center"/>
    </xf>
    <xf numFmtId="165" fontId="29" fillId="0" borderId="120" xfId="45" applyNumberFormat="1" applyFont="1" applyFill="1" applyBorder="1" applyAlignment="1">
      <alignment vertical="center"/>
    </xf>
    <xf numFmtId="43" fontId="29" fillId="0" borderId="120" xfId="45" applyFont="1" applyFill="1" applyBorder="1" applyAlignment="1">
      <alignment vertical="center"/>
    </xf>
    <xf numFmtId="164" fontId="5" fillId="0" borderId="121" xfId="21" applyNumberFormat="1" applyFont="1" applyFill="1" applyBorder="1" applyAlignment="1" applyProtection="1">
      <alignment horizontal="right" vertical="center"/>
      <protection locked="0"/>
    </xf>
    <xf numFmtId="164" fontId="5" fillId="0" borderId="122" xfId="21" applyNumberFormat="1" applyFont="1" applyFill="1" applyBorder="1" applyAlignment="1" applyProtection="1">
      <alignment horizontal="right" vertical="center"/>
      <protection locked="0"/>
    </xf>
    <xf numFmtId="164" fontId="5" fillId="0" borderId="47" xfId="21" applyNumberFormat="1" applyFont="1" applyFill="1" applyBorder="1" applyAlignment="1" applyProtection="1">
      <alignment horizontal="right" vertical="center"/>
      <protection locked="0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4" fontId="27" fillId="0" borderId="0" xfId="57" applyNumberFormat="1" applyFont="1" applyAlignment="1">
      <alignment vertical="center"/>
    </xf>
    <xf numFmtId="164" fontId="29" fillId="0" borderId="0" xfId="57" applyNumberFormat="1" applyFont="1" applyAlignment="1">
      <alignment vertical="center"/>
    </xf>
    <xf numFmtId="165" fontId="27" fillId="0" borderId="0" xfId="1" applyNumberFormat="1" applyFont="1" applyFill="1" applyBorder="1" applyAlignment="1">
      <alignment vertical="center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43" fontId="4" fillId="111" borderId="0" xfId="2408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5" fontId="4" fillId="2" borderId="0" xfId="2408" applyNumberFormat="1" applyFont="1" applyFill="1" applyBorder="1" applyAlignment="1" applyProtection="1">
      <alignment horizontal="right" vertical="center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8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44" fontId="27" fillId="0" borderId="0" xfId="0" applyNumberFormat="1" applyFont="1"/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165" fontId="27" fillId="0" borderId="0" xfId="0" applyNumberFormat="1" applyFont="1"/>
    <xf numFmtId="9" fontId="27" fillId="0" borderId="0" xfId="3" applyFont="1"/>
    <xf numFmtId="165" fontId="4" fillId="0" borderId="0" xfId="1" applyNumberFormat="1" applyFont="1" applyFill="1" applyBorder="1" applyAlignment="1" applyProtection="1">
      <alignment horizontal="right" vertical="center"/>
      <protection locked="0"/>
    </xf>
    <xf numFmtId="43" fontId="27" fillId="0" borderId="0" xfId="0" applyNumberFormat="1" applyFont="1"/>
    <xf numFmtId="168" fontId="4" fillId="0" borderId="5" xfId="4" applyNumberFormat="1" applyFont="1" applyBorder="1" applyAlignment="1">
      <alignment horizontal="center" wrapText="1"/>
    </xf>
    <xf numFmtId="37" fontId="4" fillId="0" borderId="5" xfId="4" applyNumberFormat="1" applyFont="1" applyBorder="1" applyAlignment="1">
      <alignment horizontal="center"/>
    </xf>
    <xf numFmtId="165" fontId="4" fillId="0" borderId="0" xfId="1" applyNumberFormat="1" applyFont="1" applyFill="1" applyBorder="1"/>
    <xf numFmtId="37" fontId="4" fillId="0" borderId="0" xfId="0" applyNumberFormat="1" applyFont="1"/>
    <xf numFmtId="37" fontId="4" fillId="0" borderId="0" xfId="4" applyNumberFormat="1" applyFont="1" applyAlignment="1">
      <alignment horizontal="center"/>
    </xf>
    <xf numFmtId="37" fontId="4" fillId="0" borderId="0" xfId="0" applyNumberFormat="1" applyFont="1" applyAlignment="1">
      <alignment vertical="top"/>
    </xf>
    <xf numFmtId="37" fontId="4" fillId="0" borderId="0" xfId="0" applyNumberFormat="1" applyFont="1" applyAlignment="1">
      <alignment wrapText="1"/>
    </xf>
    <xf numFmtId="165" fontId="165" fillId="0" borderId="0" xfId="1" applyNumberFormat="1" applyFont="1" applyFill="1" applyBorder="1" applyAlignment="1">
      <alignment vertical="top"/>
    </xf>
    <xf numFmtId="43" fontId="166" fillId="0" borderId="0" xfId="1" applyFont="1" applyFill="1" applyBorder="1" applyAlignment="1">
      <alignment horizontal="right"/>
    </xf>
    <xf numFmtId="165" fontId="4" fillId="0" borderId="0" xfId="1" applyNumberFormat="1" applyFont="1" applyFill="1" applyAlignment="1"/>
    <xf numFmtId="0" fontId="7" fillId="0" borderId="0" xfId="0" applyFont="1"/>
    <xf numFmtId="0" fontId="4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165" fontId="27" fillId="2" borderId="0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 applyProtection="1">
      <alignment horizontal="right" vertical="center"/>
      <protection locked="0"/>
    </xf>
    <xf numFmtId="1" fontId="29" fillId="0" borderId="0" xfId="1604" applyNumberFormat="1" applyFont="1" applyAlignment="1">
      <alignment vertical="center"/>
    </xf>
    <xf numFmtId="43" fontId="27" fillId="0" borderId="88" xfId="1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7" fontId="4" fillId="0" borderId="83" xfId="1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0" xfId="4" quotePrefix="1" applyFont="1" applyAlignment="1">
      <alignment horizontal="center"/>
    </xf>
    <xf numFmtId="0" fontId="5" fillId="0" borderId="137" xfId="4" applyFont="1" applyBorder="1" applyAlignment="1">
      <alignment horizontal="center"/>
    </xf>
    <xf numFmtId="0" fontId="5" fillId="0" borderId="135" xfId="4" applyFont="1" applyBorder="1"/>
    <xf numFmtId="175" fontId="5" fillId="0" borderId="88" xfId="4" applyNumberFormat="1" applyFont="1" applyBorder="1" applyAlignment="1">
      <alignment vertical="center"/>
    </xf>
    <xf numFmtId="0" fontId="5" fillId="0" borderId="115" xfId="4" applyFont="1" applyBorder="1"/>
    <xf numFmtId="175" fontId="4" fillId="0" borderId="88" xfId="4" applyNumberFormat="1" applyFont="1" applyBorder="1"/>
    <xf numFmtId="175" fontId="5" fillId="0" borderId="88" xfId="22" applyNumberFormat="1" applyFont="1" applyBorder="1"/>
    <xf numFmtId="10" fontId="4" fillId="2" borderId="140" xfId="2012" applyNumberFormat="1" applyFont="1" applyFill="1" applyBorder="1" applyAlignment="1">
      <alignment horizontal="right" vertical="center"/>
    </xf>
    <xf numFmtId="177" fontId="4" fillId="0" borderId="1" xfId="2012" applyNumberFormat="1" applyFont="1" applyBorder="1" applyAlignment="1" applyProtection="1">
      <alignment horizontal="right" vertical="center"/>
      <protection locked="0"/>
    </xf>
    <xf numFmtId="10" fontId="4" fillId="0" borderId="140" xfId="3" quotePrefix="1" applyNumberFormat="1" applyFont="1" applyBorder="1" applyAlignment="1">
      <alignment horizontal="right" vertical="center"/>
    </xf>
    <xf numFmtId="177" fontId="5" fillId="0" borderId="1" xfId="2012" quotePrefix="1" applyNumberFormat="1" applyFont="1" applyBorder="1" applyAlignment="1">
      <alignment horizontal="right" vertical="center"/>
    </xf>
    <xf numFmtId="10" fontId="4" fillId="0" borderId="139" xfId="2012" quotePrefix="1" applyNumberFormat="1" applyFont="1" applyBorder="1" applyAlignment="1">
      <alignment horizontal="right" vertical="center"/>
    </xf>
    <xf numFmtId="10" fontId="12" fillId="0" borderId="1" xfId="2012" applyNumberFormat="1" applyFont="1" applyBorder="1" applyAlignment="1">
      <alignment horizontal="right" vertical="center"/>
    </xf>
    <xf numFmtId="164" fontId="4" fillId="2" borderId="140" xfId="2012" applyNumberFormat="1" applyFont="1" applyFill="1" applyBorder="1" applyAlignment="1" applyProtection="1">
      <alignment horizontal="right" vertical="center"/>
      <protection locked="0"/>
    </xf>
    <xf numFmtId="0" fontId="5" fillId="0" borderId="141" xfId="2012" applyFont="1" applyBorder="1" applyAlignment="1">
      <alignment horizontal="center"/>
    </xf>
    <xf numFmtId="0" fontId="5" fillId="0" borderId="142" xfId="2012" applyFont="1" applyBorder="1" applyAlignment="1">
      <alignment vertical="center"/>
    </xf>
    <xf numFmtId="10" fontId="4" fillId="0" borderId="139" xfId="1043" applyNumberFormat="1" applyFont="1" applyBorder="1" applyAlignment="1">
      <alignment horizontal="right" vertical="center"/>
    </xf>
    <xf numFmtId="0" fontId="5" fillId="0" borderId="142" xfId="2012" applyFont="1" applyBorder="1" applyAlignment="1">
      <alignment horizontal="center" vertical="center"/>
    </xf>
    <xf numFmtId="10" fontId="4" fillId="0" borderId="139" xfId="2012" applyNumberFormat="1" applyFont="1" applyBorder="1" applyAlignment="1">
      <alignment horizontal="right" vertical="center"/>
    </xf>
    <xf numFmtId="5" fontId="4" fillId="0" borderId="142" xfId="2012" applyNumberFormat="1" applyFont="1" applyBorder="1" applyAlignment="1">
      <alignment horizontal="center" vertical="center"/>
    </xf>
    <xf numFmtId="10" fontId="4" fillId="0" borderId="139" xfId="1043" applyNumberFormat="1" applyFont="1" applyFill="1" applyBorder="1" applyAlignment="1" applyProtection="1">
      <alignment horizontal="right" vertical="center"/>
    </xf>
    <xf numFmtId="165" fontId="5" fillId="0" borderId="142" xfId="61" applyNumberFormat="1" applyFont="1" applyBorder="1" applyAlignment="1">
      <alignment horizontal="right" vertical="center"/>
    </xf>
    <xf numFmtId="165" fontId="4" fillId="0" borderId="140" xfId="1" applyNumberFormat="1" applyFont="1" applyFill="1" applyBorder="1" applyAlignment="1">
      <alignment vertical="center"/>
    </xf>
    <xf numFmtId="0" fontId="29" fillId="0" borderId="140" xfId="1604" applyFont="1" applyBorder="1" applyAlignment="1">
      <alignment horizontal="center"/>
    </xf>
    <xf numFmtId="17" fontId="29" fillId="0" borderId="140" xfId="1604" applyNumberFormat="1" applyFont="1" applyBorder="1" applyAlignment="1">
      <alignment horizontal="center"/>
    </xf>
    <xf numFmtId="0" fontId="29" fillId="0" borderId="83" xfId="1604" applyFont="1" applyBorder="1" applyAlignment="1">
      <alignment horizontal="center"/>
    </xf>
    <xf numFmtId="164" fontId="4" fillId="0" borderId="84" xfId="21" applyNumberFormat="1" applyFont="1" applyFill="1" applyBorder="1" applyAlignment="1" applyProtection="1">
      <alignment horizontal="right" vertical="center"/>
      <protection locked="0"/>
    </xf>
    <xf numFmtId="164" fontId="4" fillId="0" borderId="79" xfId="21" applyNumberFormat="1" applyFont="1" applyFill="1" applyBorder="1" applyAlignment="1" applyProtection="1">
      <alignment horizontal="right" vertical="center"/>
      <protection locked="0"/>
    </xf>
    <xf numFmtId="43" fontId="29" fillId="0" borderId="142" xfId="45" applyFont="1" applyFill="1" applyBorder="1" applyAlignment="1">
      <alignment vertical="center"/>
    </xf>
    <xf numFmtId="165" fontId="29" fillId="0" borderId="142" xfId="45" applyNumberFormat="1" applyFont="1" applyFill="1" applyBorder="1" applyAlignment="1">
      <alignment vertical="center"/>
    </xf>
    <xf numFmtId="165" fontId="29" fillId="0" borderId="135" xfId="45" applyNumberFormat="1" applyFont="1" applyFill="1" applyBorder="1" applyAlignment="1">
      <alignment vertical="center"/>
    </xf>
    <xf numFmtId="0" fontId="29" fillId="0" borderId="135" xfId="1604" applyFont="1" applyBorder="1" applyAlignment="1">
      <alignment vertical="center"/>
    </xf>
    <xf numFmtId="164" fontId="29" fillId="0" borderId="108" xfId="1604" applyNumberFormat="1" applyFont="1" applyBorder="1" applyAlignment="1">
      <alignment vertical="center"/>
    </xf>
    <xf numFmtId="164" fontId="5" fillId="0" borderId="139" xfId="21" applyNumberFormat="1" applyFont="1" applyFill="1" applyBorder="1" applyAlignment="1" applyProtection="1">
      <alignment horizontal="right" vertical="center"/>
      <protection locked="0"/>
    </xf>
    <xf numFmtId="0" fontId="29" fillId="0" borderId="143" xfId="1604" applyFont="1" applyBorder="1"/>
    <xf numFmtId="0" fontId="29" fillId="0" borderId="138" xfId="1604" applyFont="1" applyBorder="1"/>
    <xf numFmtId="0" fontId="29" fillId="0" borderId="137" xfId="1604" applyFont="1" applyBorder="1"/>
    <xf numFmtId="164" fontId="29" fillId="0" borderId="144" xfId="1604" applyNumberFormat="1" applyFont="1" applyBorder="1"/>
    <xf numFmtId="0" fontId="29" fillId="0" borderId="145" xfId="1604" applyFont="1" applyBorder="1"/>
    <xf numFmtId="165" fontId="4" fillId="0" borderId="140" xfId="1" applyNumberFormat="1" applyFont="1" applyFill="1" applyBorder="1" applyAlignment="1" applyProtection="1">
      <alignment horizontal="right"/>
      <protection locked="0"/>
    </xf>
    <xf numFmtId="164" fontId="4" fillId="0" borderId="120" xfId="21" applyNumberFormat="1" applyFont="1" applyFill="1" applyBorder="1" applyAlignment="1" applyProtection="1">
      <alignment horizontal="right"/>
      <protection locked="0"/>
    </xf>
    <xf numFmtId="164" fontId="4" fillId="0" borderId="1" xfId="21" applyNumberFormat="1" applyFont="1" applyFill="1" applyBorder="1" applyAlignment="1" applyProtection="1">
      <alignment horizontal="right"/>
      <protection locked="0"/>
    </xf>
    <xf numFmtId="164" fontId="4" fillId="0" borderId="135" xfId="21" applyNumberFormat="1" applyFont="1" applyFill="1" applyBorder="1" applyAlignment="1" applyProtection="1">
      <alignment horizontal="right"/>
      <protection locked="0"/>
    </xf>
    <xf numFmtId="10" fontId="27" fillId="3" borderId="140" xfId="1604" applyNumberFormat="1" applyFont="1" applyFill="1" applyBorder="1"/>
    <xf numFmtId="10" fontId="27" fillId="3" borderId="140" xfId="64" applyNumberFormat="1" applyFont="1" applyFill="1" applyBorder="1"/>
    <xf numFmtId="44" fontId="4" fillId="0" borderId="84" xfId="21" applyFont="1" applyFill="1" applyBorder="1" applyAlignment="1" applyProtection="1">
      <alignment horizontal="right"/>
      <protection locked="0"/>
    </xf>
    <xf numFmtId="44" fontId="4" fillId="0" borderId="123" xfId="21" applyFont="1" applyFill="1" applyBorder="1" applyAlignment="1" applyProtection="1">
      <alignment horizontal="right"/>
      <protection locked="0"/>
    </xf>
    <xf numFmtId="44" fontId="4" fillId="0" borderId="124" xfId="21" applyFont="1" applyFill="1" applyBorder="1" applyAlignment="1" applyProtection="1">
      <alignment horizontal="right"/>
      <protection locked="0"/>
    </xf>
    <xf numFmtId="164" fontId="4" fillId="0" borderId="83" xfId="21" applyNumberFormat="1" applyFont="1" applyFill="1" applyBorder="1" applyAlignment="1" applyProtection="1">
      <alignment horizontal="right"/>
      <protection locked="0"/>
    </xf>
    <xf numFmtId="164" fontId="5" fillId="0" borderId="139" xfId="21" applyNumberFormat="1" applyFont="1" applyFill="1" applyBorder="1" applyAlignment="1" applyProtection="1">
      <alignment horizontal="right"/>
      <protection locked="0"/>
    </xf>
    <xf numFmtId="0" fontId="29" fillId="0" borderId="65" xfId="1604" applyFont="1" applyBorder="1"/>
    <xf numFmtId="0" fontId="5" fillId="0" borderId="140" xfId="4" applyFont="1" applyBorder="1" applyAlignment="1">
      <alignment horizontal="center"/>
    </xf>
    <xf numFmtId="0" fontId="27" fillId="0" borderId="140" xfId="57" applyFont="1" applyBorder="1" applyAlignment="1">
      <alignment horizontal="center"/>
    </xf>
    <xf numFmtId="165" fontId="4" fillId="0" borderId="140" xfId="1" applyNumberFormat="1" applyFont="1" applyFill="1" applyBorder="1" applyAlignment="1" applyProtection="1">
      <alignment horizontal="right" vertical="center"/>
      <protection locked="0"/>
    </xf>
    <xf numFmtId="164" fontId="4" fillId="0" borderId="139" xfId="21" applyNumberFormat="1" applyFont="1" applyFill="1" applyBorder="1" applyAlignment="1" applyProtection="1">
      <alignment horizontal="right" vertical="center"/>
      <protection locked="0"/>
    </xf>
    <xf numFmtId="0" fontId="4" fillId="0" borderId="140" xfId="0" applyFont="1" applyBorder="1" applyAlignment="1">
      <alignment horizontal="center" vertical="center"/>
    </xf>
    <xf numFmtId="15" fontId="4" fillId="0" borderId="140" xfId="4" applyNumberFormat="1" applyFont="1" applyBorder="1" applyAlignment="1">
      <alignment horizontal="center" vertical="center"/>
    </xf>
    <xf numFmtId="0" fontId="4" fillId="0" borderId="140" xfId="4" applyFont="1" applyBorder="1" applyAlignment="1">
      <alignment horizontal="center" vertical="center"/>
    </xf>
    <xf numFmtId="165" fontId="4" fillId="0" borderId="83" xfId="1" applyNumberFormat="1" applyFont="1" applyBorder="1" applyAlignment="1">
      <alignment vertical="center"/>
    </xf>
    <xf numFmtId="10" fontId="4" fillId="2" borderId="140" xfId="4" applyNumberFormat="1" applyFont="1" applyFill="1" applyBorder="1" applyAlignment="1" applyProtection="1">
      <alignment horizontal="right" vertical="center"/>
      <protection locked="0"/>
    </xf>
    <xf numFmtId="164" fontId="4" fillId="0" borderId="139" xfId="21" applyNumberFormat="1" applyFont="1" applyBorder="1" applyAlignment="1" applyProtection="1">
      <alignment horizontal="right" vertical="center"/>
      <protection locked="0"/>
    </xf>
    <xf numFmtId="15" fontId="4" fillId="0" borderId="140" xfId="0" applyNumberFormat="1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vertical="center"/>
    </xf>
    <xf numFmtId="165" fontId="4" fillId="3" borderId="140" xfId="1" applyNumberFormat="1" applyFont="1" applyFill="1" applyBorder="1" applyAlignment="1" applyProtection="1">
      <alignment vertical="center"/>
      <protection locked="0"/>
    </xf>
    <xf numFmtId="10" fontId="4" fillId="2" borderId="140" xfId="0" applyNumberFormat="1" applyFont="1" applyFill="1" applyBorder="1" applyAlignment="1">
      <alignment horizontal="right" vertical="center"/>
    </xf>
    <xf numFmtId="165" fontId="4" fillId="0" borderId="140" xfId="1" applyNumberFormat="1" applyFont="1" applyFill="1" applyBorder="1"/>
    <xf numFmtId="37" fontId="4" fillId="0" borderId="65" xfId="0" applyNumberFormat="1" applyFont="1" applyBorder="1" applyAlignment="1">
      <alignment vertical="center"/>
    </xf>
    <xf numFmtId="37" fontId="5" fillId="0" borderId="136" xfId="0" applyNumberFormat="1" applyFont="1" applyBorder="1" applyAlignment="1">
      <alignment horizontal="center" vertical="center"/>
    </xf>
    <xf numFmtId="37" fontId="5" fillId="0" borderId="144" xfId="0" quotePrefix="1" applyNumberFormat="1" applyFont="1" applyBorder="1" applyAlignment="1">
      <alignment horizontal="center" vertical="center"/>
    </xf>
    <xf numFmtId="37" fontId="5" fillId="0" borderId="145" xfId="0" quotePrefix="1" applyNumberFormat="1" applyFont="1" applyBorder="1" applyAlignment="1">
      <alignment horizontal="center" vertical="center"/>
    </xf>
    <xf numFmtId="37" fontId="5" fillId="0" borderId="65" xfId="0" applyNumberFormat="1" applyFont="1" applyBorder="1" applyAlignment="1">
      <alignment horizontal="center" vertical="center"/>
    </xf>
    <xf numFmtId="164" fontId="5" fillId="0" borderId="122" xfId="2" applyNumberFormat="1" applyFont="1" applyFill="1" applyBorder="1" applyAlignment="1">
      <alignment vertical="center"/>
    </xf>
    <xf numFmtId="165" fontId="4" fillId="0" borderId="140" xfId="1" applyNumberFormat="1" applyFont="1" applyFill="1" applyBorder="1" applyAlignment="1">
      <alignment vertical="top"/>
    </xf>
    <xf numFmtId="164" fontId="5" fillId="0" borderId="139" xfId="2" applyNumberFormat="1" applyFont="1" applyBorder="1"/>
    <xf numFmtId="37" fontId="4" fillId="0" borderId="65" xfId="0" applyNumberFormat="1" applyFont="1" applyBorder="1" applyAlignment="1">
      <alignment horizontal="left" vertical="center"/>
    </xf>
    <xf numFmtId="164" fontId="4" fillId="3" borderId="140" xfId="21" applyNumberFormat="1" applyFont="1" applyFill="1" applyBorder="1" applyAlignment="1" applyProtection="1">
      <alignment horizontal="center" vertical="center"/>
      <protection locked="0"/>
    </xf>
    <xf numFmtId="10" fontId="4" fillId="3" borderId="140" xfId="3853" applyNumberFormat="1" applyFont="1" applyFill="1" applyBorder="1" applyAlignment="1">
      <alignment vertical="center"/>
    </xf>
    <xf numFmtId="0" fontId="4" fillId="0" borderId="140" xfId="0" applyFont="1" applyBorder="1" applyAlignment="1">
      <alignment horizontal="center" vertical="center" wrapText="1"/>
    </xf>
    <xf numFmtId="164" fontId="4" fillId="0" borderId="123" xfId="2" applyNumberFormat="1" applyFont="1" applyBorder="1" applyAlignment="1" applyProtection="1">
      <alignment vertical="center"/>
      <protection locked="0"/>
    </xf>
    <xf numFmtId="10" fontId="4" fillId="0" borderId="139" xfId="3" applyNumberFormat="1" applyFont="1" applyBorder="1" applyAlignment="1">
      <alignment horizontal="right" vertical="center"/>
    </xf>
    <xf numFmtId="164" fontId="4" fillId="3" borderId="140" xfId="2" applyNumberFormat="1" applyFont="1" applyFill="1" applyBorder="1" applyAlignment="1" applyProtection="1">
      <alignment vertical="center"/>
      <protection locked="0"/>
    </xf>
    <xf numFmtId="164" fontId="4" fillId="0" borderId="125" xfId="2" applyNumberFormat="1" applyFont="1" applyBorder="1" applyAlignment="1" applyProtection="1">
      <alignment vertical="center"/>
    </xf>
    <xf numFmtId="0" fontId="4" fillId="0" borderId="65" xfId="0" applyFont="1" applyBorder="1" applyAlignment="1">
      <alignment horizontal="center" vertical="center" wrapText="1"/>
    </xf>
    <xf numFmtId="10" fontId="4" fillId="3" borderId="139" xfId="3" applyNumberFormat="1" applyFont="1" applyFill="1" applyBorder="1" applyAlignment="1">
      <alignment vertical="center"/>
    </xf>
    <xf numFmtId="10" fontId="4" fillId="0" borderId="140" xfId="3" applyNumberFormat="1" applyFont="1" applyFill="1" applyBorder="1" applyAlignment="1">
      <alignment horizontal="right" vertical="center"/>
    </xf>
    <xf numFmtId="10" fontId="4" fillId="0" borderId="140" xfId="3" applyNumberFormat="1" applyFont="1" applyBorder="1" applyAlignment="1">
      <alignment horizontal="right" vertical="center"/>
    </xf>
    <xf numFmtId="164" fontId="4" fillId="0" borderId="125" xfId="0" applyNumberFormat="1" applyFont="1" applyBorder="1" applyAlignment="1">
      <alignment vertical="center"/>
    </xf>
    <xf numFmtId="10" fontId="4" fillId="0" borderId="139" xfId="3" applyNumberFormat="1" applyFont="1" applyFill="1" applyBorder="1" applyAlignment="1">
      <alignment horizontal="right" vertical="center"/>
    </xf>
    <xf numFmtId="9" fontId="4" fillId="3" borderId="140" xfId="3" applyFont="1" applyFill="1" applyBorder="1" applyAlignment="1">
      <alignment horizontal="right" vertical="center"/>
    </xf>
    <xf numFmtId="0" fontId="4" fillId="3" borderId="140" xfId="3" applyNumberFormat="1" applyFont="1" applyFill="1" applyBorder="1" applyAlignment="1">
      <alignment horizontal="right" vertical="center"/>
    </xf>
    <xf numFmtId="166" fontId="4" fillId="0" borderId="140" xfId="3" applyNumberFormat="1" applyFont="1" applyBorder="1" applyAlignment="1">
      <alignment horizontal="right" vertical="center"/>
    </xf>
    <xf numFmtId="166" fontId="4" fillId="2" borderId="140" xfId="3" applyNumberFormat="1" applyFont="1" applyFill="1" applyBorder="1" applyAlignment="1">
      <alignment horizontal="right" vertical="center"/>
    </xf>
    <xf numFmtId="166" fontId="4" fillId="0" borderId="139" xfId="3" applyNumberFormat="1" applyFont="1" applyBorder="1" applyAlignment="1">
      <alignment horizontal="right" vertical="center"/>
    </xf>
    <xf numFmtId="9" fontId="4" fillId="2" borderId="140" xfId="3" applyFont="1" applyFill="1" applyBorder="1" applyAlignment="1">
      <alignment horizontal="right" vertical="center"/>
    </xf>
    <xf numFmtId="10" fontId="4" fillId="2" borderId="140" xfId="3" applyNumberFormat="1" applyFont="1" applyFill="1" applyBorder="1" applyAlignment="1">
      <alignment horizontal="right" vertical="center"/>
    </xf>
    <xf numFmtId="166" fontId="4" fillId="2" borderId="140" xfId="0" applyNumberFormat="1" applyFont="1" applyFill="1" applyBorder="1" applyAlignment="1">
      <alignment horizontal="right" vertical="center"/>
    </xf>
    <xf numFmtId="166" fontId="4" fillId="0" borderId="139" xfId="0" applyNumberFormat="1" applyFont="1" applyBorder="1" applyAlignment="1">
      <alignment horizontal="right" vertical="center"/>
    </xf>
    <xf numFmtId="5" fontId="4" fillId="0" borderId="140" xfId="4" applyNumberFormat="1" applyFont="1" applyBorder="1" applyAlignment="1">
      <alignment horizontal="center"/>
    </xf>
    <xf numFmtId="0" fontId="4" fillId="0" borderId="140" xfId="4" applyFont="1" applyBorder="1" applyAlignment="1">
      <alignment horizontal="center"/>
    </xf>
    <xf numFmtId="165" fontId="4" fillId="2" borderId="140" xfId="2408" applyNumberFormat="1" applyFont="1" applyFill="1" applyBorder="1" applyAlignment="1" applyProtection="1">
      <alignment horizontal="right" vertical="center"/>
      <protection locked="0"/>
    </xf>
    <xf numFmtId="164" fontId="4" fillId="0" borderId="123" xfId="21" applyNumberFormat="1" applyFont="1" applyFill="1" applyBorder="1" applyAlignment="1" applyProtection="1">
      <alignment horizontal="right" vertical="center"/>
    </xf>
    <xf numFmtId="164" fontId="4" fillId="0" borderId="123" xfId="21" applyNumberFormat="1" applyFont="1" applyFill="1" applyBorder="1" applyAlignment="1" applyProtection="1">
      <alignment horizontal="center" vertical="center"/>
    </xf>
    <xf numFmtId="165" fontId="5" fillId="111" borderId="140" xfId="2408" applyNumberFormat="1" applyFont="1" applyFill="1" applyBorder="1" applyAlignment="1" applyProtection="1">
      <alignment horizontal="center" vertical="center"/>
    </xf>
    <xf numFmtId="164" fontId="4" fillId="0" borderId="139" xfId="21" applyNumberFormat="1" applyFont="1" applyFill="1" applyBorder="1" applyAlignment="1" applyProtection="1">
      <alignment horizontal="right" vertical="center"/>
    </xf>
    <xf numFmtId="164" fontId="5" fillId="0" borderId="123" xfId="21" applyNumberFormat="1" applyFont="1" applyFill="1" applyBorder="1" applyAlignment="1" applyProtection="1">
      <alignment horizontal="right" vertical="center"/>
    </xf>
    <xf numFmtId="165" fontId="4" fillId="2" borderId="140" xfId="2408" applyNumberFormat="1" applyFont="1" applyFill="1" applyBorder="1" applyAlignment="1" applyProtection="1">
      <alignment horizontal="right" vertical="center"/>
    </xf>
    <xf numFmtId="164" fontId="4" fillId="111" borderId="139" xfId="21" applyNumberFormat="1" applyFont="1" applyFill="1" applyBorder="1" applyAlignment="1" applyProtection="1">
      <alignment horizontal="right" vertical="center"/>
    </xf>
    <xf numFmtId="165" fontId="4" fillId="0" borderId="140" xfId="2408" applyNumberFormat="1" applyFont="1" applyFill="1" applyBorder="1" applyAlignment="1" applyProtection="1">
      <alignment horizontal="right" vertical="center"/>
    </xf>
    <xf numFmtId="164" fontId="4" fillId="0" borderId="125" xfId="21" applyNumberFormat="1" applyFont="1" applyFill="1" applyBorder="1" applyAlignment="1" applyProtection="1">
      <alignment horizontal="right" vertical="center"/>
    </xf>
    <xf numFmtId="6" fontId="5" fillId="0" borderId="0" xfId="4" quotePrefix="1" applyNumberFormat="1" applyFont="1" applyAlignment="1">
      <alignment horizontal="center"/>
    </xf>
    <xf numFmtId="164" fontId="5" fillId="0" borderId="47" xfId="48" applyNumberFormat="1" applyFont="1" applyBorder="1" applyAlignment="1">
      <alignment horizontal="right" vertical="center"/>
    </xf>
    <xf numFmtId="164" fontId="5" fillId="0" borderId="3" xfId="48" applyNumberFormat="1" applyFont="1" applyBorder="1" applyAlignment="1">
      <alignment horizontal="right" vertical="center"/>
    </xf>
    <xf numFmtId="165" fontId="4" fillId="0" borderId="83" xfId="1" applyNumberFormat="1" applyFont="1" applyBorder="1" applyAlignment="1">
      <alignment horizontal="right" vertical="center"/>
    </xf>
    <xf numFmtId="167" fontId="4" fillId="0" borderId="0" xfId="1" applyNumberFormat="1" applyFont="1" applyFill="1" applyBorder="1"/>
    <xf numFmtId="41" fontId="5" fillId="0" borderId="0" xfId="21" applyNumberFormat="1" applyFont="1" applyFill="1" applyBorder="1" applyAlignment="1">
      <alignment horizontal="center"/>
    </xf>
    <xf numFmtId="167" fontId="4" fillId="0" borderId="88" xfId="1" applyNumberFormat="1" applyFont="1" applyFill="1" applyBorder="1"/>
    <xf numFmtId="165" fontId="27" fillId="0" borderId="140" xfId="1" applyNumberFormat="1" applyFont="1" applyBorder="1"/>
    <xf numFmtId="164" fontId="4" fillId="0" borderId="0" xfId="0" applyNumberFormat="1" applyFont="1" applyAlignment="1">
      <alignment horizontal="center"/>
    </xf>
    <xf numFmtId="37" fontId="4" fillId="0" borderId="0" xfId="2" applyNumberFormat="1" applyFont="1" applyFill="1" applyBorder="1"/>
    <xf numFmtId="164" fontId="4" fillId="0" borderId="0" xfId="1" applyNumberFormat="1" applyFont="1" applyFill="1" applyBorder="1"/>
    <xf numFmtId="37" fontId="4" fillId="0" borderId="0" xfId="1" applyNumberFormat="1" applyFont="1" applyFill="1" applyBorder="1"/>
    <xf numFmtId="165" fontId="165" fillId="0" borderId="0" xfId="0" applyNumberFormat="1" applyFont="1"/>
    <xf numFmtId="43" fontId="4" fillId="0" borderId="0" xfId="1" applyFont="1" applyFill="1" applyBorder="1"/>
    <xf numFmtId="168" fontId="4" fillId="0" borderId="5" xfId="4" applyNumberFormat="1" applyFont="1" applyBorder="1" applyAlignment="1">
      <alignment horizontal="center"/>
    </xf>
    <xf numFmtId="168" fontId="4" fillId="0" borderId="5" xfId="4" applyNumberFormat="1" applyFont="1" applyBorder="1" applyAlignment="1">
      <alignment horizontal="center" vertical="top"/>
    </xf>
    <xf numFmtId="37" fontId="4" fillId="0" borderId="5" xfId="4" applyNumberFormat="1" applyFont="1" applyBorder="1" applyAlignment="1">
      <alignment horizontal="center" wrapText="1"/>
    </xf>
    <xf numFmtId="164" fontId="165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/>
    <xf numFmtId="165" fontId="4" fillId="0" borderId="140" xfId="0" applyNumberFormat="1" applyFont="1" applyBorder="1"/>
    <xf numFmtId="43" fontId="4" fillId="0" borderId="0" xfId="1" applyFont="1" applyFill="1" applyBorder="1" applyAlignment="1">
      <alignment vertical="top"/>
    </xf>
    <xf numFmtId="165" fontId="4" fillId="0" borderId="140" xfId="0" applyNumberFormat="1" applyFont="1" applyBorder="1" applyAlignment="1">
      <alignment horizontal="center"/>
    </xf>
    <xf numFmtId="0" fontId="2" fillId="0" borderId="0" xfId="57"/>
    <xf numFmtId="0" fontId="168" fillId="0" borderId="0" xfId="57" applyFont="1" applyAlignment="1">
      <alignment horizontal="centerContinuous" vertical="center"/>
    </xf>
    <xf numFmtId="0" fontId="168" fillId="0" borderId="0" xfId="57" applyFont="1" applyAlignment="1">
      <alignment horizontal="centerContinuous" vertical="justify"/>
    </xf>
    <xf numFmtId="0" fontId="29" fillId="0" borderId="0" xfId="57" applyFont="1" applyAlignment="1">
      <alignment horizontal="centerContinuous" vertical="justify"/>
    </xf>
    <xf numFmtId="0" fontId="168" fillId="0" borderId="0" xfId="57" applyFont="1" applyAlignment="1">
      <alignment horizontal="centerContinuous"/>
    </xf>
    <xf numFmtId="0" fontId="13" fillId="0" borderId="0" xfId="0" applyFont="1"/>
    <xf numFmtId="0" fontId="119" fillId="0" borderId="0" xfId="57" quotePrefix="1" applyFont="1" applyAlignment="1">
      <alignment horizontal="center"/>
    </xf>
    <xf numFmtId="0" fontId="119" fillId="0" borderId="0" xfId="57" applyFont="1"/>
    <xf numFmtId="0" fontId="4" fillId="0" borderId="140" xfId="0" applyFont="1" applyBorder="1" applyAlignment="1">
      <alignment horizontal="center"/>
    </xf>
    <xf numFmtId="0" fontId="27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7" fillId="0" borderId="0" xfId="9" applyNumberFormat="1" applyFont="1"/>
    <xf numFmtId="165" fontId="27" fillId="0" borderId="0" xfId="1497" applyNumberFormat="1" applyFont="1"/>
    <xf numFmtId="165" fontId="27" fillId="0" borderId="0" xfId="1497" applyNumberFormat="1" applyFont="1" applyBorder="1"/>
    <xf numFmtId="0" fontId="29" fillId="0" borderId="0" xfId="57" applyFont="1" applyAlignment="1">
      <alignment horizontal="left"/>
    </xf>
    <xf numFmtId="175" fontId="29" fillId="0" borderId="139" xfId="2" applyNumberFormat="1" applyFont="1" applyBorder="1"/>
    <xf numFmtId="0" fontId="27" fillId="0" borderId="0" xfId="57" applyFont="1" applyAlignment="1">
      <alignment horizontal="left"/>
    </xf>
    <xf numFmtId="43" fontId="27" fillId="0" borderId="0" xfId="57" applyNumberFormat="1" applyFont="1"/>
    <xf numFmtId="0" fontId="170" fillId="0" borderId="0" xfId="57" applyFont="1" applyAlignment="1">
      <alignment horizontal="center"/>
    </xf>
    <xf numFmtId="0" fontId="4" fillId="0" borderId="0" xfId="57" applyFont="1"/>
    <xf numFmtId="0" fontId="4" fillId="0" borderId="0" xfId="6107" applyFont="1" applyAlignment="1">
      <alignment horizontal="center" vertical="center"/>
    </xf>
    <xf numFmtId="0" fontId="171" fillId="0" borderId="7" xfId="0" applyFont="1" applyBorder="1" applyAlignment="1">
      <alignment horizontal="center"/>
    </xf>
    <xf numFmtId="0" fontId="0" fillId="0" borderId="7" xfId="0" applyBorder="1"/>
    <xf numFmtId="0" fontId="5" fillId="0" borderId="146" xfId="4" applyFont="1" applyBorder="1" applyAlignment="1">
      <alignment horizontal="center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2" fillId="0" borderId="0" xfId="0" applyFont="1" applyAlignment="1">
      <alignment horizontal="center"/>
    </xf>
    <xf numFmtId="0" fontId="5" fillId="0" borderId="87" xfId="4" applyFont="1" applyBorder="1" applyAlignment="1">
      <alignment horizontal="center"/>
    </xf>
    <xf numFmtId="0" fontId="5" fillId="0" borderId="140" xfId="4" quotePrefix="1" applyFont="1" applyBorder="1" applyAlignment="1">
      <alignment horizontal="center"/>
    </xf>
    <xf numFmtId="10" fontId="5" fillId="0" borderId="87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73" fillId="0" borderId="0" xfId="0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 vertical="center"/>
    </xf>
    <xf numFmtId="41" fontId="5" fillId="0" borderId="0" xfId="21" applyNumberFormat="1" applyFont="1" applyBorder="1" applyAlignment="1">
      <alignment horizontal="left"/>
    </xf>
    <xf numFmtId="41" fontId="5" fillId="0" borderId="0" xfId="2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 vertical="center"/>
    </xf>
    <xf numFmtId="164" fontId="4" fillId="0" borderId="87" xfId="4" applyNumberFormat="1" applyFont="1" applyBorder="1" applyAlignment="1">
      <alignment vertical="center"/>
    </xf>
    <xf numFmtId="164" fontId="4" fillId="0" borderId="0" xfId="1040" applyNumberFormat="1" applyFont="1" applyFill="1" applyBorder="1" applyAlignment="1">
      <alignment vertical="center"/>
    </xf>
    <xf numFmtId="175" fontId="5" fillId="0" borderId="87" xfId="4" applyNumberFormat="1" applyFont="1" applyBorder="1" applyAlignment="1">
      <alignment vertical="center"/>
    </xf>
    <xf numFmtId="175" fontId="5" fillId="0" borderId="0" xfId="4" applyNumberFormat="1" applyFont="1" applyAlignment="1">
      <alignment vertical="center"/>
    </xf>
    <xf numFmtId="164" fontId="5" fillId="0" borderId="121" xfId="48" applyNumberFormat="1" applyFont="1" applyBorder="1" applyAlignment="1">
      <alignment horizontal="right" vertical="center"/>
    </xf>
    <xf numFmtId="164" fontId="4" fillId="0" borderId="139" xfId="48" applyNumberFormat="1" applyFont="1" applyBorder="1" applyAlignment="1">
      <alignment horizontal="right" vertical="center"/>
    </xf>
    <xf numFmtId="164" fontId="5" fillId="0" borderId="139" xfId="48" applyNumberFormat="1" applyFont="1" applyBorder="1" applyAlignment="1">
      <alignment horizontal="right" vertical="center"/>
    </xf>
    <xf numFmtId="0" fontId="5" fillId="0" borderId="7" xfId="4" applyFont="1" applyBorder="1"/>
    <xf numFmtId="44" fontId="5" fillId="0" borderId="7" xfId="4" applyNumberFormat="1" applyFont="1" applyBorder="1"/>
    <xf numFmtId="0" fontId="5" fillId="0" borderId="119" xfId="4" applyFont="1" applyBorder="1"/>
    <xf numFmtId="0" fontId="5" fillId="0" borderId="147" xfId="4" applyFont="1" applyBorder="1" applyAlignment="1">
      <alignment horizontal="center"/>
    </xf>
    <xf numFmtId="175" fontId="4" fillId="0" borderId="87" xfId="48" applyNumberFormat="1" applyFont="1" applyFill="1" applyBorder="1" applyAlignment="1">
      <alignment horizontal="right"/>
    </xf>
    <xf numFmtId="175" fontId="4" fillId="0" borderId="0" xfId="48" applyNumberFormat="1" applyFont="1" applyFill="1" applyBorder="1" applyAlignment="1">
      <alignment horizontal="right"/>
    </xf>
    <xf numFmtId="175" fontId="4" fillId="0" borderId="87" xfId="4" applyNumberFormat="1" applyFont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87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43" fontId="4" fillId="0" borderId="0" xfId="4" applyNumberFormat="1" applyFont="1" applyAlignment="1">
      <alignment horizontal="center"/>
    </xf>
    <xf numFmtId="167" fontId="4" fillId="0" borderId="0" xfId="1" applyNumberFormat="1" applyFont="1" applyFill="1" applyBorder="1" applyAlignment="1">
      <alignment horizontal="right"/>
    </xf>
    <xf numFmtId="41" fontId="5" fillId="0" borderId="0" xfId="21" applyNumberFormat="1" applyFont="1" applyBorder="1" applyAlignment="1">
      <alignment horizontal="center"/>
    </xf>
    <xf numFmtId="175" fontId="4" fillId="0" borderId="87" xfId="4" applyNumberFormat="1" applyFont="1" applyBorder="1"/>
    <xf numFmtId="175" fontId="4" fillId="0" borderId="0" xfId="4" applyNumberFormat="1" applyFont="1"/>
    <xf numFmtId="167" fontId="4" fillId="0" borderId="97" xfId="1" applyNumberFormat="1" applyFont="1" applyFill="1" applyBorder="1"/>
    <xf numFmtId="167" fontId="4" fillId="0" borderId="140" xfId="1" applyNumberFormat="1" applyFont="1" applyFill="1" applyBorder="1"/>
    <xf numFmtId="167" fontId="4" fillId="0" borderId="140" xfId="1" applyNumberFormat="1" applyFont="1" applyFill="1" applyBorder="1" applyAlignment="1">
      <alignment horizontal="right"/>
    </xf>
    <xf numFmtId="175" fontId="5" fillId="0" borderId="87" xfId="4" applyNumberFormat="1" applyFont="1" applyBorder="1"/>
    <xf numFmtId="175" fontId="5" fillId="0" borderId="0" xfId="4" applyNumberFormat="1" applyFont="1"/>
    <xf numFmtId="175" fontId="4" fillId="0" borderId="139" xfId="48" applyNumberFormat="1" applyFont="1" applyBorder="1" applyAlignment="1">
      <alignment horizontal="right"/>
    </xf>
    <xf numFmtId="175" fontId="5" fillId="0" borderId="139" xfId="48" applyNumberFormat="1" applyFont="1" applyBorder="1" applyAlignment="1">
      <alignment horizontal="right"/>
    </xf>
    <xf numFmtId="175" fontId="27" fillId="0" borderId="0" xfId="0" applyNumberFormat="1" applyFont="1"/>
    <xf numFmtId="175" fontId="5" fillId="0" borderId="87" xfId="22" applyNumberFormat="1" applyFont="1" applyBorder="1"/>
    <xf numFmtId="175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140" xfId="2030" applyNumberFormat="1" applyFont="1" applyFill="1" applyBorder="1"/>
    <xf numFmtId="165" fontId="5" fillId="0" borderId="0" xfId="22" applyNumberFormat="1" applyFont="1" applyFill="1" applyBorder="1"/>
    <xf numFmtId="164" fontId="5" fillId="0" borderId="121" xfId="48" applyNumberFormat="1" applyFont="1" applyBorder="1" applyAlignment="1">
      <alignment horizontal="right"/>
    </xf>
    <xf numFmtId="164" fontId="4" fillId="0" borderId="139" xfId="48" applyNumberFormat="1" applyFont="1" applyBorder="1" applyAlignment="1">
      <alignment horizontal="right"/>
    </xf>
    <xf numFmtId="164" fontId="5" fillId="0" borderId="139" xfId="0" applyNumberFormat="1" applyFont="1" applyBorder="1" applyAlignment="1">
      <alignment horizontal="center"/>
    </xf>
    <xf numFmtId="165" fontId="5" fillId="0" borderId="98" xfId="22" applyNumberFormat="1" applyFont="1" applyBorder="1"/>
    <xf numFmtId="165" fontId="5" fillId="0" borderId="7" xfId="22" applyNumberFormat="1" applyFont="1" applyFill="1" applyBorder="1"/>
    <xf numFmtId="0" fontId="5" fillId="0" borderId="7" xfId="4" applyFont="1" applyBorder="1" applyAlignment="1">
      <alignment horizontal="center"/>
    </xf>
    <xf numFmtId="164" fontId="5" fillId="0" borderId="87" xfId="48" applyNumberFormat="1" applyFont="1" applyBorder="1" applyAlignment="1">
      <alignment horizontal="right" vertical="center"/>
    </xf>
    <xf numFmtId="164" fontId="5" fillId="0" borderId="0" xfId="48" applyNumberFormat="1" applyFont="1" applyBorder="1" applyAlignment="1">
      <alignment horizontal="right" vertical="center"/>
    </xf>
    <xf numFmtId="165" fontId="4" fillId="0" borderId="97" xfId="1" applyNumberFormat="1" applyFont="1" applyBorder="1" applyAlignment="1">
      <alignment horizontal="right" vertical="center"/>
    </xf>
    <xf numFmtId="167" fontId="4" fillId="0" borderId="87" xfId="1" applyNumberFormat="1" applyFont="1" applyFill="1" applyBorder="1"/>
    <xf numFmtId="164" fontId="4" fillId="0" borderId="140" xfId="48" applyNumberFormat="1" applyFont="1" applyBorder="1" applyAlignment="1">
      <alignment horizontal="right" vertical="center"/>
    </xf>
    <xf numFmtId="164" fontId="5" fillId="0" borderId="0" xfId="48" applyNumberFormat="1" applyFont="1" applyFill="1" applyBorder="1" applyAlignment="1">
      <alignment horizontal="right" vertical="center"/>
    </xf>
    <xf numFmtId="175" fontId="5" fillId="0" borderId="87" xfId="22" applyNumberFormat="1" applyFont="1" applyFill="1" applyBorder="1"/>
    <xf numFmtId="165" fontId="4" fillId="0" borderId="87" xfId="2030" applyNumberFormat="1" applyFont="1" applyFill="1" applyBorder="1"/>
    <xf numFmtId="165" fontId="5" fillId="0" borderId="98" xfId="22" applyNumberFormat="1" applyFont="1" applyFill="1" applyBorder="1"/>
    <xf numFmtId="0" fontId="5" fillId="0" borderId="119" xfId="4" applyFont="1" applyBorder="1" applyAlignment="1">
      <alignment horizontal="center"/>
    </xf>
    <xf numFmtId="0" fontId="5" fillId="0" borderId="148" xfId="4" applyFont="1" applyBorder="1" applyAlignment="1">
      <alignment horizontal="center"/>
    </xf>
    <xf numFmtId="0" fontId="5" fillId="0" borderId="112" xfId="4" applyFont="1" applyBorder="1" applyAlignment="1">
      <alignment horizontal="center"/>
    </xf>
    <xf numFmtId="0" fontId="5" fillId="0" borderId="149" xfId="4" applyFont="1" applyBorder="1"/>
    <xf numFmtId="0" fontId="5" fillId="0" borderId="111" xfId="4" applyFont="1" applyBorder="1" applyAlignment="1">
      <alignment horizontal="left"/>
    </xf>
    <xf numFmtId="41" fontId="4" fillId="0" borderId="6" xfId="21" applyNumberFormat="1" applyFont="1" applyBorder="1" applyAlignment="1">
      <alignment horizontal="center"/>
    </xf>
    <xf numFmtId="0" fontId="5" fillId="0" borderId="111" xfId="4" applyFont="1" applyBorder="1"/>
    <xf numFmtId="43" fontId="5" fillId="0" borderId="6" xfId="4" applyNumberFormat="1" applyFont="1" applyBorder="1" applyAlignment="1">
      <alignment horizontal="center"/>
    </xf>
    <xf numFmtId="0" fontId="5" fillId="0" borderId="5" xfId="4" applyFont="1" applyBorder="1" applyAlignment="1">
      <alignment horizontal="left"/>
    </xf>
    <xf numFmtId="41" fontId="5" fillId="0" borderId="6" xfId="21" applyNumberFormat="1" applyFont="1" applyBorder="1" applyAlignment="1">
      <alignment horizontal="left"/>
    </xf>
    <xf numFmtId="41" fontId="5" fillId="0" borderId="6" xfId="21" applyNumberFormat="1" applyFont="1" applyFill="1" applyBorder="1" applyAlignment="1">
      <alignment horizontal="left"/>
    </xf>
    <xf numFmtId="0" fontId="4" fillId="0" borderId="111" xfId="4" applyFont="1" applyBorder="1" applyAlignment="1">
      <alignment horizontal="left"/>
    </xf>
    <xf numFmtId="41" fontId="4" fillId="0" borderId="6" xfId="21" applyNumberFormat="1" applyFont="1" applyFill="1" applyBorder="1" applyAlignment="1">
      <alignment horizontal="center"/>
    </xf>
    <xf numFmtId="0" fontId="5" fillId="0" borderId="5" xfId="4" applyFont="1" applyBorder="1"/>
    <xf numFmtId="0" fontId="27" fillId="0" borderId="6" xfId="57" applyFont="1" applyBorder="1" applyAlignment="1">
      <alignment horizontal="center"/>
    </xf>
    <xf numFmtId="0" fontId="4" fillId="0" borderId="111" xfId="4" applyFont="1" applyBorder="1"/>
    <xf numFmtId="0" fontId="5" fillId="0" borderId="114" xfId="4" applyFont="1" applyBorder="1"/>
    <xf numFmtId="0" fontId="5" fillId="0" borderId="109" xfId="4" applyFont="1" applyBorder="1"/>
    <xf numFmtId="0" fontId="5" fillId="0" borderId="146" xfId="4" applyFont="1" applyBorder="1"/>
    <xf numFmtId="0" fontId="5" fillId="0" borderId="111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43" fontId="4" fillId="0" borderId="6" xfId="4" applyNumberFormat="1" applyFont="1" applyBorder="1" applyAlignment="1">
      <alignment horizontal="center"/>
    </xf>
    <xf numFmtId="41" fontId="5" fillId="0" borderId="6" xfId="21" applyNumberFormat="1" applyFont="1" applyBorder="1" applyAlignment="1">
      <alignment horizontal="center"/>
    </xf>
    <xf numFmtId="41" fontId="5" fillId="0" borderId="6" xfId="21" applyNumberFormat="1" applyFont="1" applyFill="1" applyBorder="1" applyAlignment="1">
      <alignment horizontal="center"/>
    </xf>
    <xf numFmtId="0" fontId="4" fillId="0" borderId="5" xfId="4" applyFont="1" applyBorder="1" applyAlignment="1">
      <alignment horizontal="left"/>
    </xf>
    <xf numFmtId="41" fontId="5" fillId="0" borderId="6" xfId="21" applyNumberFormat="1" applyFont="1" applyFill="1" applyBorder="1"/>
    <xf numFmtId="165" fontId="5" fillId="0" borderId="6" xfId="22" applyNumberFormat="1" applyFont="1" applyFill="1" applyBorder="1"/>
    <xf numFmtId="0" fontId="5" fillId="0" borderId="49" xfId="4" applyFont="1" applyBorder="1"/>
    <xf numFmtId="164" fontId="5" fillId="0" borderId="139" xfId="21" applyNumberFormat="1" applyFont="1" applyBorder="1" applyAlignment="1" applyProtection="1">
      <alignment horizontal="right" vertical="center"/>
      <protection locked="0"/>
    </xf>
    <xf numFmtId="0" fontId="174" fillId="0" borderId="0" xfId="0" applyFont="1" applyAlignment="1">
      <alignment horizontal="center"/>
    </xf>
    <xf numFmtId="164" fontId="5" fillId="0" borderId="0" xfId="2" applyNumberFormat="1" applyFont="1" applyFill="1" applyBorder="1" applyAlignment="1">
      <alignment vertical="center"/>
    </xf>
    <xf numFmtId="0" fontId="5" fillId="0" borderId="137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4" fillId="0" borderId="3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4" fontId="4" fillId="0" borderId="4" xfId="2" applyNumberFormat="1" applyFont="1" applyFill="1" applyBorder="1" applyAlignment="1">
      <alignment vertical="center"/>
    </xf>
    <xf numFmtId="165" fontId="4" fillId="0" borderId="97" xfId="1" applyNumberFormat="1" applyFont="1" applyFill="1" applyBorder="1" applyAlignment="1">
      <alignment vertical="center"/>
    </xf>
    <xf numFmtId="164" fontId="5" fillId="0" borderId="139" xfId="2" applyNumberFormat="1" applyFont="1" applyFill="1" applyBorder="1" applyAlignment="1">
      <alignment vertical="center"/>
    </xf>
    <xf numFmtId="165" fontId="5" fillId="0" borderId="0" xfId="1" applyNumberFormat="1" applyFont="1" applyFill="1" applyBorder="1"/>
    <xf numFmtId="165" fontId="5" fillId="0" borderId="3" xfId="1" applyNumberFormat="1" applyFont="1" applyFill="1" applyBorder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0" fontId="173" fillId="0" borderId="121" xfId="0" applyFont="1" applyBorder="1" applyAlignment="1">
      <alignment horizontal="center"/>
    </xf>
    <xf numFmtId="0" fontId="173" fillId="0" borderId="5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vertical="center"/>
    </xf>
    <xf numFmtId="37" fontId="4" fillId="0" borderId="7" xfId="0" applyNumberFormat="1" applyFont="1" applyBorder="1" applyAlignment="1">
      <alignment vertical="center"/>
    </xf>
    <xf numFmtId="37" fontId="5" fillId="0" borderId="147" xfId="0" quotePrefix="1" applyNumberFormat="1" applyFont="1" applyBorder="1" applyAlignment="1">
      <alignment horizontal="center" vertical="center"/>
    </xf>
    <xf numFmtId="37" fontId="5" fillId="0" borderId="0" xfId="12" applyNumberFormat="1" applyFont="1" applyAlignment="1">
      <alignment horizontal="center" vertical="center"/>
    </xf>
    <xf numFmtId="37" fontId="5" fillId="0" borderId="7" xfId="12" applyNumberFormat="1" applyFont="1" applyBorder="1" applyAlignment="1">
      <alignment horizontal="center" vertical="center"/>
    </xf>
    <xf numFmtId="37" fontId="4" fillId="0" borderId="0" xfId="12" applyNumberFormat="1" applyFont="1" applyAlignment="1">
      <alignment horizontal="center" vertical="center"/>
    </xf>
    <xf numFmtId="0" fontId="5" fillId="0" borderId="147" xfId="0" quotePrefix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37" fontId="4" fillId="0" borderId="137" xfId="12" applyNumberFormat="1" applyFont="1" applyBorder="1" applyAlignment="1">
      <alignment horizontal="center" vertical="center"/>
    </xf>
    <xf numFmtId="165" fontId="175" fillId="0" borderId="3" xfId="1" applyNumberFormat="1" applyFont="1" applyFill="1" applyBorder="1"/>
    <xf numFmtId="165" fontId="175" fillId="0" borderId="3" xfId="1" applyNumberFormat="1" applyFont="1" applyFill="1" applyBorder="1" applyAlignment="1">
      <alignment vertical="center"/>
    </xf>
    <xf numFmtId="165" fontId="171" fillId="0" borderId="3" xfId="1" applyNumberFormat="1" applyFont="1" applyFill="1" applyBorder="1" applyAlignment="1">
      <alignment vertical="center"/>
    </xf>
    <xf numFmtId="37" fontId="4" fillId="0" borderId="3" xfId="0" applyNumberFormat="1" applyFont="1" applyBorder="1" applyAlignment="1">
      <alignment vertical="center"/>
    </xf>
    <xf numFmtId="37" fontId="4" fillId="0" borderId="43" xfId="12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65" fontId="5" fillId="0" borderId="4" xfId="1" applyNumberFormat="1" applyFont="1" applyFill="1" applyBorder="1" applyAlignment="1">
      <alignment vertical="center"/>
    </xf>
    <xf numFmtId="168" fontId="5" fillId="0" borderId="111" xfId="0" applyNumberFormat="1" applyFont="1" applyBorder="1" applyAlignment="1">
      <alignment horizontal="center" vertical="center"/>
    </xf>
    <xf numFmtId="0" fontId="175" fillId="0" borderId="5" xfId="0" applyFont="1" applyBorder="1" applyAlignment="1">
      <alignment horizontal="center"/>
    </xf>
    <xf numFmtId="165" fontId="5" fillId="3" borderId="140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" xfId="2" applyNumberFormat="1" applyFont="1" applyBorder="1" applyAlignment="1">
      <alignment horizontal="right" vertical="center"/>
    </xf>
    <xf numFmtId="165" fontId="5" fillId="0" borderId="140" xfId="1" applyNumberFormat="1" applyFont="1" applyFill="1" applyBorder="1" applyAlignment="1" applyProtection="1">
      <alignment vertical="center"/>
      <protection locked="0"/>
    </xf>
    <xf numFmtId="164" fontId="5" fillId="0" borderId="139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Alignment="1">
      <alignment horizontal="right" vertical="center"/>
    </xf>
    <xf numFmtId="165" fontId="5" fillId="111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140" xfId="1" applyNumberFormat="1" applyFont="1" applyFill="1" applyBorder="1" applyAlignment="1" applyProtection="1">
      <alignment horizontal="right" vertical="center"/>
    </xf>
    <xf numFmtId="164" fontId="5" fillId="0" borderId="125" xfId="2" applyNumberFormat="1" applyFont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2" borderId="140" xfId="1" applyNumberFormat="1" applyFont="1" applyFill="1" applyBorder="1" applyAlignment="1">
      <alignment vertical="center"/>
    </xf>
    <xf numFmtId="164" fontId="5" fillId="0" borderId="125" xfId="2" applyNumberFormat="1" applyFont="1" applyBorder="1" applyAlignment="1">
      <alignment vertical="center"/>
    </xf>
    <xf numFmtId="10" fontId="5" fillId="0" borderId="139" xfId="2" applyNumberFormat="1" applyFont="1" applyBorder="1" applyAlignment="1">
      <alignment horizontal="right" vertical="center"/>
    </xf>
    <xf numFmtId="164" fontId="5" fillId="2" borderId="0" xfId="21" applyNumberFormat="1" applyFont="1" applyFill="1" applyAlignment="1" applyProtection="1">
      <alignment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5" fontId="5" fillId="2" borderId="140" xfId="1" applyNumberFormat="1" applyFont="1" applyFill="1" applyBorder="1" applyAlignment="1" applyProtection="1">
      <alignment vertical="center"/>
      <protection locked="0"/>
    </xf>
    <xf numFmtId="164" fontId="5" fillId="0" borderId="0" xfId="21" applyNumberFormat="1" applyFont="1" applyAlignment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  <protection locked="0"/>
    </xf>
    <xf numFmtId="165" fontId="5" fillId="2" borderId="140" xfId="2408" applyNumberFormat="1" applyFont="1" applyFill="1" applyBorder="1" applyAlignment="1" applyProtection="1">
      <alignment horizontal="right" vertical="center"/>
      <protection locked="0"/>
    </xf>
    <xf numFmtId="164" fontId="5" fillId="0" borderId="139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Alignment="1" applyProtection="1">
      <alignment horizontal="right" vertical="center"/>
    </xf>
    <xf numFmtId="165" fontId="5" fillId="2" borderId="0" xfId="2408" applyNumberFormat="1" applyFont="1" applyFill="1" applyAlignment="1" applyProtection="1">
      <alignment horizontal="right" vertical="center"/>
    </xf>
    <xf numFmtId="165" fontId="5" fillId="2" borderId="140" xfId="2408" applyNumberFormat="1" applyFont="1" applyFill="1" applyBorder="1" applyAlignment="1" applyProtection="1">
      <alignment horizontal="right" vertical="center"/>
    </xf>
    <xf numFmtId="164" fontId="5" fillId="0" borderId="0" xfId="21" applyNumberFormat="1" applyFont="1" applyFill="1" applyAlignment="1" applyProtection="1">
      <alignment horizontal="right" vertical="center"/>
    </xf>
    <xf numFmtId="165" fontId="5" fillId="0" borderId="140" xfId="2408" applyNumberFormat="1" applyFont="1" applyFill="1" applyBorder="1" applyAlignment="1" applyProtection="1">
      <alignment horizontal="right" vertical="center"/>
    </xf>
    <xf numFmtId="164" fontId="5" fillId="0" borderId="125" xfId="21" applyNumberFormat="1" applyFont="1" applyFill="1" applyBorder="1" applyAlignment="1" applyProtection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0" fontId="12" fillId="0" borderId="0" xfId="0" quotePrefix="1" applyFont="1" applyAlignment="1">
      <alignment horizontal="center" vertical="center"/>
    </xf>
    <xf numFmtId="0" fontId="5" fillId="0" borderId="140" xfId="55" applyFont="1" applyBorder="1" applyAlignment="1">
      <alignment horizontal="center" vertical="center"/>
    </xf>
    <xf numFmtId="0" fontId="29" fillId="0" borderId="140" xfId="0" applyFont="1" applyBorder="1" applyAlignment="1">
      <alignment horizontal="center" vertical="center"/>
    </xf>
    <xf numFmtId="0" fontId="4" fillId="0" borderId="0" xfId="55" applyFont="1" applyAlignment="1">
      <alignment horizontal="left" vertical="center"/>
    </xf>
    <xf numFmtId="0" fontId="4" fillId="0" borderId="0" xfId="55" applyFont="1" applyAlignment="1">
      <alignment horizontal="center" vertical="center"/>
    </xf>
    <xf numFmtId="10" fontId="4" fillId="3" borderId="0" xfId="3" applyNumberFormat="1" applyFont="1" applyFill="1" applyBorder="1"/>
    <xf numFmtId="165" fontId="4" fillId="0" borderId="0" xfId="1" applyNumberFormat="1" applyFont="1" applyAlignment="1">
      <alignment horizontal="center" vertical="center"/>
    </xf>
    <xf numFmtId="0" fontId="4" fillId="0" borderId="140" xfId="55" applyFont="1" applyBorder="1" applyAlignment="1">
      <alignment horizontal="left" vertical="center"/>
    </xf>
    <xf numFmtId="0" fontId="4" fillId="0" borderId="140" xfId="55" applyFont="1" applyBorder="1" applyAlignment="1">
      <alignment horizontal="center" vertical="center"/>
    </xf>
    <xf numFmtId="10" fontId="4" fillId="3" borderId="140" xfId="3" applyNumberFormat="1" applyFont="1" applyFill="1" applyBorder="1"/>
    <xf numFmtId="1" fontId="4" fillId="0" borderId="0" xfId="55" applyNumberFormat="1" applyFont="1" applyAlignment="1">
      <alignment horizontal="center" vertical="center"/>
    </xf>
    <xf numFmtId="164" fontId="27" fillId="0" borderId="0" xfId="2" applyNumberFormat="1" applyFont="1" applyFill="1" applyAlignment="1">
      <alignment horizontal="right" vertical="center"/>
    </xf>
    <xf numFmtId="10" fontId="4" fillId="3" borderId="1" xfId="3" applyNumberFormat="1" applyFont="1" applyFill="1" applyBorder="1"/>
    <xf numFmtId="165" fontId="27" fillId="0" borderId="0" xfId="1" applyNumberFormat="1" applyFont="1" applyAlignment="1">
      <alignment vertical="center"/>
    </xf>
    <xf numFmtId="165" fontId="27" fillId="0" borderId="0" xfId="1" applyNumberFormat="1" applyFont="1" applyFill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01" fontId="27" fillId="0" borderId="0" xfId="3" applyNumberFormat="1" applyFont="1" applyAlignment="1">
      <alignment vertical="center"/>
    </xf>
    <xf numFmtId="1" fontId="4" fillId="0" borderId="140" xfId="55" applyNumberFormat="1" applyFont="1" applyBorder="1" applyAlignment="1">
      <alignment horizontal="center" vertical="center"/>
    </xf>
    <xf numFmtId="165" fontId="27" fillId="0" borderId="140" xfId="1" applyNumberFormat="1" applyFont="1" applyFill="1" applyBorder="1" applyAlignment="1">
      <alignment horizontal="right" vertical="center"/>
    </xf>
    <xf numFmtId="165" fontId="27" fillId="0" borderId="140" xfId="1" applyNumberFormat="1" applyFont="1" applyFill="1" applyBorder="1" applyAlignment="1">
      <alignment vertical="center"/>
    </xf>
    <xf numFmtId="203" fontId="27" fillId="0" borderId="0" xfId="2" applyNumberFormat="1" applyFont="1" applyBorder="1" applyAlignment="1">
      <alignment vertical="center"/>
    </xf>
    <xf numFmtId="203" fontId="27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204" fontId="27" fillId="0" borderId="0" xfId="0" applyNumberFormat="1" applyFont="1" applyAlignment="1">
      <alignment vertical="center"/>
    </xf>
    <xf numFmtId="204" fontId="4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64" fontId="5" fillId="2" borderId="140" xfId="2012" applyNumberFormat="1" applyFont="1" applyFill="1" applyBorder="1" applyAlignment="1" applyProtection="1">
      <alignment horizontal="right" vertical="center"/>
      <protection locked="0"/>
    </xf>
    <xf numFmtId="164" fontId="5" fillId="2" borderId="0" xfId="2012" applyNumberFormat="1" applyFont="1" applyFill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1" xfId="2012" applyNumberFormat="1" applyFont="1" applyBorder="1" applyAlignment="1" applyProtection="1">
      <alignment horizontal="right" vertical="center"/>
      <protection locked="0"/>
    </xf>
    <xf numFmtId="164" fontId="5" fillId="2" borderId="0" xfId="21" applyNumberFormat="1" applyFont="1" applyFill="1" applyAlignment="1">
      <alignment horizontal="center" vertical="center"/>
    </xf>
    <xf numFmtId="165" fontId="5" fillId="2" borderId="50" xfId="1" applyNumberFormat="1" applyFont="1" applyFill="1" applyBorder="1" applyAlignment="1">
      <alignment horizontal="center" vertical="center"/>
    </xf>
    <xf numFmtId="164" fontId="5" fillId="0" borderId="0" xfId="48" applyNumberFormat="1" applyFont="1" applyAlignment="1">
      <alignment vertical="center"/>
    </xf>
    <xf numFmtId="164" fontId="5" fillId="2" borderId="0" xfId="2" applyNumberFormat="1" applyFont="1" applyFill="1" applyAlignment="1">
      <alignment vertical="center"/>
    </xf>
    <xf numFmtId="164" fontId="5" fillId="2" borderId="0" xfId="21" applyNumberFormat="1" applyFont="1" applyFill="1" applyBorder="1" applyAlignment="1">
      <alignment vertical="center"/>
    </xf>
    <xf numFmtId="5" fontId="26" fillId="0" borderId="0" xfId="2012" applyNumberFormat="1" applyFont="1" applyAlignment="1" applyProtection="1">
      <alignment horizontal="center" vertical="center"/>
      <protection locked="0"/>
    </xf>
    <xf numFmtId="164" fontId="5" fillId="0" borderId="0" xfId="2012" applyNumberFormat="1" applyFont="1" applyAlignment="1">
      <alignment horizontal="right" vertical="center"/>
    </xf>
    <xf numFmtId="10" fontId="5" fillId="2" borderId="0" xfId="2012" applyNumberFormat="1" applyFont="1" applyFill="1" applyAlignment="1">
      <alignment horizontal="right" vertical="center"/>
    </xf>
    <xf numFmtId="10" fontId="5" fillId="0" borderId="0" xfId="2012" applyNumberFormat="1" applyFont="1" applyAlignment="1">
      <alignment horizontal="right" vertical="center"/>
    </xf>
    <xf numFmtId="10" fontId="5" fillId="0" borderId="139" xfId="2012" quotePrefix="1" applyNumberFormat="1" applyFont="1" applyBorder="1" applyAlignment="1">
      <alignment horizontal="right" vertical="center"/>
    </xf>
    <xf numFmtId="164" fontId="5" fillId="0" borderId="139" xfId="2" applyNumberFormat="1" applyFont="1" applyBorder="1" applyAlignment="1">
      <alignment horizontal="right" vertical="center"/>
    </xf>
    <xf numFmtId="10" fontId="5" fillId="0" borderId="0" xfId="1043" applyNumberFormat="1" applyFont="1" applyBorder="1" applyAlignment="1">
      <alignment horizontal="right" vertical="center"/>
    </xf>
    <xf numFmtId="164" fontId="5" fillId="0" borderId="50" xfId="2012" applyNumberFormat="1" applyFont="1" applyBorder="1" applyAlignment="1" applyProtection="1">
      <alignment horizontal="right" vertical="center"/>
      <protection locked="0"/>
    </xf>
    <xf numFmtId="42" fontId="5" fillId="0" borderId="0" xfId="2012" applyNumberFormat="1" applyFont="1" applyAlignment="1">
      <alignment horizontal="right" vertical="center"/>
    </xf>
    <xf numFmtId="10" fontId="5" fillId="0" borderId="139" xfId="1043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2" xfId="1" applyNumberFormat="1" applyFont="1" applyFill="1" applyBorder="1" applyAlignment="1" applyProtection="1">
      <alignment horizontal="right" vertical="center"/>
      <protection locked="0"/>
    </xf>
    <xf numFmtId="0" fontId="29" fillId="0" borderId="147" xfId="1604" applyFont="1" applyBorder="1"/>
    <xf numFmtId="164" fontId="29" fillId="0" borderId="0" xfId="45" applyNumberFormat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164" fontId="29" fillId="0" borderId="0" xfId="1604" applyNumberFormat="1" applyFont="1" applyAlignment="1">
      <alignment vertical="center"/>
    </xf>
    <xf numFmtId="164" fontId="29" fillId="0" borderId="0" xfId="1604" applyNumberFormat="1" applyFont="1"/>
    <xf numFmtId="164" fontId="29" fillId="0" borderId="147" xfId="1604" applyNumberFormat="1" applyFont="1" applyBorder="1"/>
    <xf numFmtId="0" fontId="29" fillId="0" borderId="7" xfId="1604" applyFont="1" applyBorder="1"/>
    <xf numFmtId="165" fontId="5" fillId="0" borderId="88" xfId="1" applyNumberFormat="1" applyFont="1" applyFill="1" applyBorder="1" applyAlignment="1" applyProtection="1">
      <alignment horizontal="right" vertical="center"/>
      <protection locked="0"/>
    </xf>
    <xf numFmtId="167" fontId="5" fillId="0" borderId="3" xfId="1" applyNumberFormat="1" applyFont="1" applyFill="1" applyBorder="1" applyAlignment="1">
      <alignment horizontal="right"/>
    </xf>
    <xf numFmtId="164" fontId="5" fillId="0" borderId="47" xfId="48" applyNumberFormat="1" applyFont="1" applyBorder="1" applyAlignment="1">
      <alignment horizontal="right"/>
    </xf>
    <xf numFmtId="165" fontId="5" fillId="0" borderId="140" xfId="1" applyNumberFormat="1" applyFont="1" applyFill="1" applyBorder="1" applyAlignment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</xf>
    <xf numFmtId="164" fontId="4" fillId="0" borderId="3" xfId="48" applyNumberFormat="1" applyFont="1" applyFill="1" applyBorder="1" applyAlignment="1">
      <alignment horizontal="right" vertical="center"/>
    </xf>
    <xf numFmtId="164" fontId="4" fillId="0" borderId="3" xfId="4" applyNumberFormat="1" applyFont="1" applyBorder="1" applyAlignment="1">
      <alignment horizontal="right" vertical="center"/>
    </xf>
    <xf numFmtId="165" fontId="4" fillId="0" borderId="88" xfId="1" applyNumberFormat="1" applyFont="1" applyFill="1" applyBorder="1" applyAlignment="1">
      <alignment horizontal="right" vertical="center"/>
    </xf>
    <xf numFmtId="164" fontId="4" fillId="0" borderId="3" xfId="4" applyNumberFormat="1" applyFont="1" applyBorder="1" applyAlignment="1">
      <alignment vertical="center"/>
    </xf>
    <xf numFmtId="164" fontId="4" fillId="0" borderId="88" xfId="1040" applyNumberFormat="1" applyFont="1" applyFill="1" applyBorder="1" applyAlignment="1">
      <alignment vertical="center"/>
    </xf>
    <xf numFmtId="164" fontId="4" fillId="0" borderId="88" xfId="4" applyNumberFormat="1" applyFont="1" applyBorder="1" applyAlignment="1">
      <alignment vertical="center"/>
    </xf>
    <xf numFmtId="164" fontId="4" fillId="0" borderId="87" xfId="48" applyNumberFormat="1" applyFont="1" applyFill="1" applyBorder="1" applyAlignment="1">
      <alignment horizontal="right" vertical="center"/>
    </xf>
    <xf numFmtId="164" fontId="4" fillId="0" borderId="87" xfId="4" applyNumberFormat="1" applyFont="1" applyBorder="1" applyAlignment="1">
      <alignment horizontal="right" vertical="center"/>
    </xf>
    <xf numFmtId="165" fontId="5" fillId="0" borderId="87" xfId="1" applyNumberFormat="1" applyFont="1" applyFill="1" applyBorder="1" applyAlignment="1">
      <alignment horizontal="right" vertical="center"/>
    </xf>
    <xf numFmtId="165" fontId="4" fillId="0" borderId="87" xfId="1" applyNumberFormat="1" applyFont="1" applyFill="1" applyBorder="1" applyAlignment="1">
      <alignment horizontal="right" vertical="center"/>
    </xf>
    <xf numFmtId="164" fontId="4" fillId="0" borderId="87" xfId="1040" applyNumberFormat="1" applyFont="1" applyFill="1" applyBorder="1" applyAlignment="1">
      <alignment vertical="center"/>
    </xf>
    <xf numFmtId="165" fontId="4" fillId="0" borderId="97" xfId="2030" applyNumberFormat="1" applyFont="1" applyFill="1" applyBorder="1"/>
    <xf numFmtId="165" fontId="5" fillId="0" borderId="3" xfId="1" applyNumberFormat="1" applyFont="1" applyFill="1" applyBorder="1" applyAlignment="1">
      <alignment horizontal="right" vertical="center"/>
    </xf>
    <xf numFmtId="164" fontId="5" fillId="0" borderId="3" xfId="2" applyNumberFormat="1" applyFont="1" applyFill="1" applyBorder="1" applyAlignment="1">
      <alignment horizontal="right" vertical="center"/>
    </xf>
    <xf numFmtId="165" fontId="4" fillId="0" borderId="83" xfId="2030" applyNumberFormat="1" applyFont="1" applyFill="1" applyBorder="1"/>
    <xf numFmtId="164" fontId="5" fillId="0" borderId="83" xfId="21" applyNumberFormat="1" applyFont="1" applyFill="1" applyBorder="1" applyAlignment="1" applyProtection="1">
      <alignment horizontal="right"/>
      <protection locked="0"/>
    </xf>
    <xf numFmtId="166" fontId="5" fillId="0" borderId="139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66" fontId="5" fillId="0" borderId="140" xfId="3" applyNumberFormat="1" applyFont="1" applyBorder="1" applyAlignment="1">
      <alignment horizontal="right" vertical="center"/>
    </xf>
    <xf numFmtId="166" fontId="5" fillId="2" borderId="50" xfId="2012" applyNumberFormat="1" applyFont="1" applyFill="1" applyBorder="1" applyAlignment="1">
      <alignment horizontal="right" vertical="center"/>
    </xf>
    <xf numFmtId="166" fontId="5" fillId="2" borderId="0" xfId="6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/>
    </xf>
    <xf numFmtId="37" fontId="7" fillId="0" borderId="0" xfId="0" applyNumberFormat="1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10" fontId="8" fillId="127" borderId="0" xfId="3" applyNumberFormat="1" applyFont="1" applyFill="1" applyBorder="1"/>
    <xf numFmtId="0" fontId="27" fillId="0" borderId="140" xfId="0" applyFont="1" applyBorder="1" applyAlignment="1">
      <alignment vertical="center"/>
    </xf>
    <xf numFmtId="10" fontId="8" fillId="127" borderId="140" xfId="3" applyNumberFormat="1" applyFont="1" applyFill="1" applyBorder="1"/>
    <xf numFmtId="0" fontId="5" fillId="0" borderId="144" xfId="0" quotePrefix="1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37" fontId="4" fillId="0" borderId="144" xfId="12" applyNumberFormat="1" applyFont="1" applyBorder="1" applyAlignment="1">
      <alignment horizontal="center" vertical="center"/>
    </xf>
    <xf numFmtId="165" fontId="5" fillId="0" borderId="88" xfId="1" applyNumberFormat="1" applyFont="1" applyFill="1" applyBorder="1" applyAlignment="1">
      <alignment vertical="center"/>
    </xf>
    <xf numFmtId="164" fontId="5" fillId="0" borderId="121" xfId="2" applyNumberFormat="1" applyFont="1" applyFill="1" applyBorder="1" applyAlignment="1">
      <alignment vertical="center"/>
    </xf>
    <xf numFmtId="0" fontId="5" fillId="0" borderId="150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173" fillId="0" borderId="3" xfId="0" applyFont="1" applyBorder="1" applyAlignment="1">
      <alignment horizontal="center"/>
    </xf>
    <xf numFmtId="165" fontId="172" fillId="0" borderId="3" xfId="1" applyNumberFormat="1" applyFont="1" applyFill="1" applyBorder="1" applyAlignment="1">
      <alignment vertical="center"/>
    </xf>
    <xf numFmtId="165" fontId="5" fillId="0" borderId="100" xfId="1" applyNumberFormat="1" applyFont="1" applyFill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137" xfId="12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5" xfId="4" applyNumberFormat="1" applyFont="1" applyBorder="1" applyAlignment="1">
      <alignment horizontal="center"/>
    </xf>
    <xf numFmtId="0" fontId="175" fillId="0" borderId="5" xfId="0" applyFont="1" applyBorder="1" applyAlignment="1">
      <alignment horizontal="center" vertical="center"/>
    </xf>
    <xf numFmtId="0" fontId="173" fillId="0" borderId="122" xfId="0" applyFont="1" applyBorder="1" applyAlignment="1">
      <alignment horizontal="center"/>
    </xf>
    <xf numFmtId="168" fontId="4" fillId="0" borderId="0" xfId="4" applyNumberFormat="1" applyFont="1" applyAlignment="1">
      <alignment horizontal="center" vertical="center"/>
    </xf>
    <xf numFmtId="164" fontId="5" fillId="2" borderId="140" xfId="21" applyNumberFormat="1" applyFont="1" applyFill="1" applyBorder="1" applyAlignment="1" applyProtection="1">
      <alignment vertical="center"/>
      <protection locked="0"/>
    </xf>
    <xf numFmtId="164" fontId="4" fillId="2" borderId="140" xfId="21" applyNumberFormat="1" applyFont="1" applyFill="1" applyBorder="1" applyAlignment="1">
      <alignment horizontal="right" vertical="center"/>
    </xf>
    <xf numFmtId="164" fontId="4" fillId="2" borderId="140" xfId="21" applyNumberFormat="1" applyFont="1" applyFill="1" applyBorder="1" applyAlignment="1" applyProtection="1">
      <alignment vertical="center"/>
      <protection locked="0"/>
    </xf>
    <xf numFmtId="165" fontId="176" fillId="0" borderId="0" xfId="22" applyNumberFormat="1" applyFont="1" applyBorder="1" applyAlignment="1">
      <alignment vertical="center"/>
    </xf>
    <xf numFmtId="165" fontId="4" fillId="0" borderId="4" xfId="1" applyNumberFormat="1" applyFont="1" applyFill="1" applyBorder="1" applyAlignment="1">
      <alignment horizontal="right" vertical="center"/>
    </xf>
    <xf numFmtId="164" fontId="4" fillId="0" borderId="4" xfId="1040" applyNumberFormat="1" applyFont="1" applyFill="1" applyBorder="1" applyAlignment="1">
      <alignment vertical="center"/>
    </xf>
    <xf numFmtId="164" fontId="4" fillId="0" borderId="4" xfId="4" applyNumberFormat="1" applyFont="1" applyBorder="1" applyAlignment="1">
      <alignment vertical="center"/>
    </xf>
    <xf numFmtId="164" fontId="4" fillId="0" borderId="2" xfId="4" applyNumberFormat="1" applyFont="1" applyBorder="1" applyAlignment="1">
      <alignment vertical="center"/>
    </xf>
    <xf numFmtId="175" fontId="5" fillId="0" borderId="4" xfId="4" applyNumberFormat="1" applyFont="1" applyBorder="1" applyAlignment="1">
      <alignment vertical="center"/>
    </xf>
    <xf numFmtId="175" fontId="5" fillId="0" borderId="2" xfId="4" applyNumberFormat="1" applyFont="1" applyBorder="1" applyAlignment="1">
      <alignment vertical="center"/>
    </xf>
    <xf numFmtId="175" fontId="4" fillId="0" borderId="4" xfId="4" applyNumberFormat="1" applyFont="1" applyBorder="1"/>
    <xf numFmtId="175" fontId="4" fillId="0" borderId="2" xfId="4" applyNumberFormat="1" applyFont="1" applyBorder="1"/>
    <xf numFmtId="167" fontId="4" fillId="0" borderId="4" xfId="1" applyNumberFormat="1" applyFont="1" applyFill="1" applyBorder="1"/>
    <xf numFmtId="175" fontId="5" fillId="0" borderId="4" xfId="22" applyNumberFormat="1" applyFont="1" applyBorder="1"/>
    <xf numFmtId="175" fontId="5" fillId="0" borderId="2" xfId="22" applyNumberFormat="1" applyFont="1" applyFill="1" applyBorder="1"/>
    <xf numFmtId="165" fontId="4" fillId="0" borderId="2" xfId="2030" applyNumberFormat="1" applyFont="1" applyFill="1" applyBorder="1"/>
    <xf numFmtId="164" fontId="4" fillId="0" borderId="121" xfId="21" applyNumberFormat="1" applyFont="1" applyFill="1" applyBorder="1" applyAlignment="1" applyProtection="1">
      <alignment horizontal="right" vertical="center"/>
      <protection locked="0"/>
    </xf>
    <xf numFmtId="164" fontId="4" fillId="0" borderId="122" xfId="21" applyNumberFormat="1" applyFont="1" applyFill="1" applyBorder="1" applyAlignment="1" applyProtection="1">
      <alignment horizontal="right" vertical="center"/>
      <protection locked="0"/>
    </xf>
    <xf numFmtId="164" fontId="4" fillId="0" borderId="121" xfId="21" applyNumberFormat="1" applyFont="1" applyFill="1" applyBorder="1" applyAlignment="1" applyProtection="1">
      <alignment horizontal="right"/>
      <protection locked="0"/>
    </xf>
    <xf numFmtId="0" fontId="173" fillId="0" borderId="151" xfId="0" applyFont="1" applyBorder="1" applyAlignment="1">
      <alignment horizontal="center"/>
    </xf>
    <xf numFmtId="164" fontId="4" fillId="0" borderId="139" xfId="21" applyNumberFormat="1" applyFont="1" applyFill="1" applyBorder="1" applyAlignment="1" applyProtection="1">
      <alignment horizontal="right"/>
      <protection locked="0"/>
    </xf>
    <xf numFmtId="168" fontId="5" fillId="0" borderId="0" xfId="0" applyNumberFormat="1" applyFont="1" applyAlignment="1">
      <alignment horizontal="center" wrapText="1"/>
    </xf>
    <xf numFmtId="167" fontId="4" fillId="0" borderId="87" xfId="1" applyNumberFormat="1" applyFont="1" applyFill="1" applyBorder="1" applyAlignment="1">
      <alignment horizontal="right"/>
    </xf>
    <xf numFmtId="44" fontId="4" fillId="0" borderId="0" xfId="2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140" xfId="0" applyNumberFormat="1" applyFont="1" applyBorder="1" applyAlignment="1">
      <alignment horizontal="center" vertical="center"/>
    </xf>
    <xf numFmtId="0" fontId="27" fillId="127" borderId="0" xfId="0" applyFont="1" applyFill="1" applyAlignment="1">
      <alignment horizontal="center" vertical="center"/>
    </xf>
    <xf numFmtId="0" fontId="27" fillId="127" borderId="0" xfId="0" applyFont="1" applyFill="1" applyAlignment="1">
      <alignment vertical="center"/>
    </xf>
    <xf numFmtId="0" fontId="27" fillId="0" borderId="6" xfId="0" applyFont="1" applyBorder="1"/>
    <xf numFmtId="43" fontId="4" fillId="0" borderId="0" xfId="0" applyNumberFormat="1" applyFont="1" applyAlignment="1">
      <alignment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4" fillId="2" borderId="140" xfId="1" applyNumberFormat="1" applyFont="1" applyFill="1" applyBorder="1" applyAlignment="1" applyProtection="1">
      <alignment horizontal="right" vertical="center"/>
    </xf>
    <xf numFmtId="164" fontId="4" fillId="0" borderId="125" xfId="2" applyNumberFormat="1" applyFont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140" xfId="1" applyNumberFormat="1" applyFont="1" applyFill="1" applyBorder="1" applyAlignment="1">
      <alignment vertical="center"/>
    </xf>
    <xf numFmtId="164" fontId="4" fillId="0" borderId="125" xfId="2" applyNumberFormat="1" applyFont="1" applyBorder="1" applyAlignment="1">
      <alignment vertical="center"/>
    </xf>
    <xf numFmtId="10" fontId="4" fillId="0" borderId="139" xfId="2" applyNumberFormat="1" applyFont="1" applyBorder="1" applyAlignment="1">
      <alignment horizontal="right" vertical="center"/>
    </xf>
    <xf numFmtId="0" fontId="27" fillId="0" borderId="151" xfId="0" applyFont="1" applyBorder="1"/>
    <xf numFmtId="205" fontId="27" fillId="0" borderId="0" xfId="0" applyNumberFormat="1" applyFont="1"/>
    <xf numFmtId="206" fontId="27" fillId="0" borderId="0" xfId="0" applyNumberFormat="1" applyFont="1"/>
    <xf numFmtId="169" fontId="27" fillId="0" borderId="0" xfId="0" applyNumberFormat="1" applyFont="1"/>
    <xf numFmtId="164" fontId="4" fillId="0" borderId="153" xfId="2" applyNumberFormat="1" applyFont="1" applyBorder="1" applyAlignment="1">
      <alignment vertical="center"/>
    </xf>
    <xf numFmtId="164" fontId="5" fillId="0" borderId="153" xfId="2" applyNumberFormat="1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164" fontId="5" fillId="0" borderId="2" xfId="21" applyNumberFormat="1" applyFont="1" applyFill="1" applyBorder="1" applyAlignment="1" applyProtection="1">
      <alignment horizontal="right" vertical="center"/>
      <protection locked="0"/>
    </xf>
    <xf numFmtId="164" fontId="5" fillId="0" borderId="3" xfId="21" applyNumberFormat="1" applyFont="1" applyFill="1" applyBorder="1" applyAlignment="1" applyProtection="1">
      <alignment horizontal="right" vertical="center"/>
      <protection locked="0"/>
    </xf>
    <xf numFmtId="164" fontId="29" fillId="0" borderId="0" xfId="2" applyNumberFormat="1" applyFont="1" applyFill="1" applyBorder="1" applyAlignment="1">
      <alignment vertical="center"/>
    </xf>
    <xf numFmtId="44" fontId="5" fillId="0" borderId="139" xfId="2" applyFont="1" applyFill="1" applyBorder="1" applyAlignment="1">
      <alignment vertical="center"/>
    </xf>
    <xf numFmtId="44" fontId="29" fillId="0" borderId="139" xfId="2" applyFont="1" applyFill="1" applyBorder="1" applyAlignment="1">
      <alignment vertical="center"/>
    </xf>
    <xf numFmtId="0" fontId="5" fillId="0" borderId="0" xfId="4" applyFont="1" applyAlignment="1">
      <alignment horizontal="center" vertical="center" wrapText="1"/>
    </xf>
    <xf numFmtId="44" fontId="27" fillId="0" borderId="0" xfId="9" applyFont="1"/>
    <xf numFmtId="43" fontId="27" fillId="0" borderId="140" xfId="1497" applyFont="1" applyBorder="1"/>
    <xf numFmtId="44" fontId="29" fillId="0" borderId="0" xfId="2" applyFont="1" applyBorder="1"/>
    <xf numFmtId="44" fontId="27" fillId="0" borderId="0" xfId="2" applyFont="1" applyAlignment="1">
      <alignment horizontal="center" vertical="center"/>
    </xf>
    <xf numFmtId="44" fontId="27" fillId="0" borderId="0" xfId="2" applyFont="1" applyAlignment="1">
      <alignment horizontal="right" vertical="center"/>
    </xf>
    <xf numFmtId="43" fontId="27" fillId="0" borderId="0" xfId="1" applyFont="1" applyAlignment="1">
      <alignment horizontal="center" vertical="center"/>
    </xf>
    <xf numFmtId="43" fontId="27" fillId="0" borderId="0" xfId="1" applyFont="1" applyAlignment="1">
      <alignment horizontal="right" vertical="center"/>
    </xf>
    <xf numFmtId="43" fontId="27" fillId="0" borderId="140" xfId="1" applyFont="1" applyBorder="1" applyAlignment="1">
      <alignment horizontal="center" vertical="center"/>
    </xf>
    <xf numFmtId="43" fontId="27" fillId="0" borderId="140" xfId="1" applyFont="1" applyBorder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43" fontId="4" fillId="0" borderId="140" xfId="1" applyFont="1" applyFill="1" applyBorder="1" applyAlignment="1">
      <alignment horizontal="right" vertical="center"/>
    </xf>
    <xf numFmtId="43" fontId="27" fillId="0" borderId="0" xfId="1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27" fillId="0" borderId="0" xfId="1" applyFont="1" applyBorder="1" applyAlignment="1">
      <alignment horizontal="right" vertical="center"/>
    </xf>
    <xf numFmtId="43" fontId="5" fillId="0" borderId="140" xfId="1" applyFont="1" applyFill="1" applyBorder="1" applyAlignment="1">
      <alignment horizontal="right" vertical="center"/>
    </xf>
    <xf numFmtId="165" fontId="4" fillId="0" borderId="140" xfId="1" applyNumberFormat="1" applyFont="1" applyFill="1" applyBorder="1" applyAlignment="1" applyProtection="1">
      <alignment vertical="center"/>
      <protection locked="0"/>
    </xf>
    <xf numFmtId="0" fontId="27" fillId="0" borderId="0" xfId="57" quotePrefix="1" applyFont="1"/>
    <xf numFmtId="37" fontId="5" fillId="0" borderId="0" xfId="0" applyNumberFormat="1" applyFont="1"/>
    <xf numFmtId="0" fontId="168" fillId="0" borderId="0" xfId="57" applyFont="1" applyAlignment="1">
      <alignment horizontal="center" vertical="justify"/>
    </xf>
    <xf numFmtId="0" fontId="168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29" fillId="0" borderId="0" xfId="1604" applyFont="1" applyAlignment="1">
      <alignment horizontal="right"/>
    </xf>
    <xf numFmtId="0" fontId="29" fillId="3" borderId="0" xfId="1604" applyFont="1" applyFill="1" applyAlignment="1">
      <alignment horizontal="center"/>
    </xf>
    <xf numFmtId="5" fontId="29" fillId="0" borderId="0" xfId="1604" applyNumberFormat="1" applyFont="1" applyAlignment="1">
      <alignment horizontal="center"/>
    </xf>
    <xf numFmtId="0" fontId="29" fillId="0" borderId="116" xfId="1604" applyFont="1" applyBorder="1" applyAlignment="1">
      <alignment horizontal="center"/>
    </xf>
    <xf numFmtId="0" fontId="29" fillId="0" borderId="117" xfId="1604" applyFont="1" applyBorder="1"/>
    <xf numFmtId="0" fontId="29" fillId="0" borderId="118" xfId="1604" applyFont="1" applyBorder="1"/>
    <xf numFmtId="0" fontId="29" fillId="0" borderId="0" xfId="57" applyFont="1" applyAlignment="1">
      <alignment horizontal="center"/>
    </xf>
    <xf numFmtId="5" fontId="29" fillId="0" borderId="0" xfId="57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9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</cellXfs>
  <cellStyles count="38566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097" xr:uid="{00000000-0005-0000-0000-0000FB940000}"/>
    <cellStyle name="Comma 154" xfId="38100" xr:uid="{00000000-0005-0000-0000-0000FE940000}"/>
    <cellStyle name="Comma 155" xfId="38103" xr:uid="{00000000-0005-0000-0000-000001950000}"/>
    <cellStyle name="Comma 156" xfId="38106" xr:uid="{00000000-0005-0000-0000-000004950000}"/>
    <cellStyle name="Comma 157" xfId="38109" xr:uid="{00000000-0005-0000-0000-000007950000}"/>
    <cellStyle name="Comma 158" xfId="38112" xr:uid="{00000000-0005-0000-0000-00000A950000}"/>
    <cellStyle name="Comma 159" xfId="38115" xr:uid="{00000000-0005-0000-0000-00000D950000}"/>
    <cellStyle name="Comma 16" xfId="1452" xr:uid="{00000000-0005-0000-0000-0000ED050000}"/>
    <cellStyle name="Comma 160" xfId="38118" xr:uid="{00000000-0005-0000-0000-000010950000}"/>
    <cellStyle name="Comma 161" xfId="38410" xr:uid="{00000000-0005-0000-0000-000037960000}"/>
    <cellStyle name="Comma 162" xfId="38407" xr:uid="{00000000-0005-0000-0000-00003A960000}"/>
    <cellStyle name="Comma 163" xfId="38121" xr:uid="{00000000-0005-0000-0000-00003D960000}"/>
    <cellStyle name="Comma 164" xfId="38125" xr:uid="{00000000-0005-0000-0000-000041960000}"/>
    <cellStyle name="Comma 165" xfId="38413" xr:uid="{00000000-0005-0000-0000-000045960000}"/>
    <cellStyle name="Comma 166" xfId="38417" xr:uid="{00000000-0005-0000-0000-000049960000}"/>
    <cellStyle name="Comma 167" xfId="38421" xr:uid="{00000000-0005-0000-0000-00004D960000}"/>
    <cellStyle name="Comma 168" xfId="38425" xr:uid="{00000000-0005-0000-0000-000051960000}"/>
    <cellStyle name="Comma 169" xfId="38429" xr:uid="{00000000-0005-0000-0000-000055960000}"/>
    <cellStyle name="Comma 17" xfId="1453" xr:uid="{00000000-0005-0000-0000-0000EE050000}"/>
    <cellStyle name="Comma 170" xfId="38432" xr:uid="{00000000-0005-0000-0000-000059960000}"/>
    <cellStyle name="Comma 171" xfId="38436" xr:uid="{00000000-0005-0000-0000-00005D960000}"/>
    <cellStyle name="Comma 172" xfId="38441" xr:uid="{00000000-0005-0000-0000-000061960000}"/>
    <cellStyle name="Comma 173" xfId="38445" xr:uid="{00000000-0005-0000-0000-000065960000}"/>
    <cellStyle name="Comma 174" xfId="38449" xr:uid="{00000000-0005-0000-0000-000069960000}"/>
    <cellStyle name="Comma 175" xfId="38453" xr:uid="{00000000-0005-0000-0000-00006D960000}"/>
    <cellStyle name="Comma 176" xfId="38457" xr:uid="{00000000-0005-0000-0000-000071960000}"/>
    <cellStyle name="Comma 177" xfId="38461" xr:uid="{00000000-0005-0000-0000-000075960000}"/>
    <cellStyle name="Comma 178" xfId="38465" xr:uid="{00000000-0005-0000-0000-000079960000}"/>
    <cellStyle name="Comma 179" xfId="38469" xr:uid="{00000000-0005-0000-0000-00007D960000}"/>
    <cellStyle name="Comma 18" xfId="1454" xr:uid="{00000000-0005-0000-0000-0000EF050000}"/>
    <cellStyle name="Comma 180" xfId="38473" xr:uid="{00000000-0005-0000-0000-000081960000}"/>
    <cellStyle name="Comma 181" xfId="38478" xr:uid="{00000000-0005-0000-0000-000087960000}"/>
    <cellStyle name="Comma 182" xfId="38480" xr:uid="{00000000-0005-0000-0000-00008A960000}"/>
    <cellStyle name="Comma 183" xfId="38485" xr:uid="{00000000-0005-0000-0000-00008E960000}"/>
    <cellStyle name="Comma 184" xfId="38488" xr:uid="{00000000-0005-0000-0000-000092960000}"/>
    <cellStyle name="Comma 185" xfId="38492" xr:uid="{00000000-0005-0000-0000-000086960000}"/>
    <cellStyle name="Comma 186" xfId="38496" xr:uid="{00000000-0005-0000-0000-00008A960000}"/>
    <cellStyle name="Comma 187" xfId="38500" xr:uid="{00000000-0005-0000-0000-00008E960000}"/>
    <cellStyle name="Comma 188" xfId="38502" xr:uid="{00000000-0005-0000-0000-000090960000}"/>
    <cellStyle name="Comma 189" xfId="38504" xr:uid="{00000000-0005-0000-0000-000092960000}"/>
    <cellStyle name="Comma 19" xfId="1455" xr:uid="{00000000-0005-0000-0000-0000F0050000}"/>
    <cellStyle name="Comma 190" xfId="38506" xr:uid="{00000000-0005-0000-0000-000094960000}"/>
    <cellStyle name="Comma 191" xfId="38508" xr:uid="{00000000-0005-0000-0000-000096960000}"/>
    <cellStyle name="Comma 192" xfId="38510" xr:uid="{00000000-0005-0000-0000-000098960000}"/>
    <cellStyle name="Comma 193" xfId="38512" xr:uid="{00000000-0005-0000-0000-00009A960000}"/>
    <cellStyle name="Comma 194" xfId="38514" xr:uid="{00000000-0005-0000-0000-00009C960000}"/>
    <cellStyle name="Comma 195" xfId="38516" xr:uid="{00000000-0005-0000-0000-00009E960000}"/>
    <cellStyle name="Comma 196" xfId="38518" xr:uid="{00000000-0005-0000-0000-0000A0960000}"/>
    <cellStyle name="Comma 197" xfId="38520" xr:uid="{00000000-0005-0000-0000-0000A2960000}"/>
    <cellStyle name="Comma 198" xfId="38522" xr:uid="{00000000-0005-0000-0000-0000A4960000}"/>
    <cellStyle name="Comma 199" xfId="38524" xr:uid="{00000000-0005-0000-0000-0000A696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00" xfId="38526" xr:uid="{00000000-0005-0000-0000-0000A8960000}"/>
    <cellStyle name="Comma 201" xfId="38528" xr:uid="{00000000-0005-0000-0000-0000AA960000}"/>
    <cellStyle name="Comma 202" xfId="38530" xr:uid="{00000000-0005-0000-0000-0000AC960000}"/>
    <cellStyle name="Comma 203" xfId="38532" xr:uid="{00000000-0005-0000-0000-0000AE960000}"/>
    <cellStyle name="Comma 204" xfId="38534" xr:uid="{00000000-0005-0000-0000-0000B0960000}"/>
    <cellStyle name="Comma 205" xfId="38536" xr:uid="{00000000-0005-0000-0000-0000B2960000}"/>
    <cellStyle name="Comma 206" xfId="38538" xr:uid="{00000000-0005-0000-0000-0000B4960000}"/>
    <cellStyle name="Comma 207" xfId="38540" xr:uid="{00000000-0005-0000-0000-0000B6960000}"/>
    <cellStyle name="Comma 208" xfId="38542" xr:uid="{00000000-0005-0000-0000-0000B8960000}"/>
    <cellStyle name="Comma 209" xfId="38544" xr:uid="{00000000-0005-0000-0000-0000BA960000}"/>
    <cellStyle name="Comma 21" xfId="1478" xr:uid="{00000000-0005-0000-0000-000033060000}"/>
    <cellStyle name="Comma 210" xfId="38546" xr:uid="{00000000-0005-0000-0000-0000BC960000}"/>
    <cellStyle name="Comma 211" xfId="38548" xr:uid="{00000000-0005-0000-0000-0000BE960000}"/>
    <cellStyle name="Comma 212" xfId="38550" xr:uid="{00000000-0005-0000-0000-0000C1960000}"/>
    <cellStyle name="Comma 213" xfId="38553" xr:uid="{00000000-0005-0000-0000-0000C3960000}"/>
    <cellStyle name="Comma 214" xfId="38554" xr:uid="{00000000-0005-0000-0000-0000C5960000}"/>
    <cellStyle name="Comma 215" xfId="38556" xr:uid="{00000000-0005-0000-0000-0000C7960000}"/>
    <cellStyle name="Comma 216" xfId="38555" xr:uid="{00000000-0005-0000-0000-0000C9960000}"/>
    <cellStyle name="Comma 217" xfId="38558" xr:uid="{00000000-0005-0000-0000-0000CB960000}"/>
    <cellStyle name="Comma 218" xfId="38560" xr:uid="{00000000-0005-0000-0000-0000CD960000}"/>
    <cellStyle name="Comma 219" xfId="38562" xr:uid="{00000000-0005-0000-0000-0000CF9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098" xr:uid="{00000000-0005-0000-0000-0000FC940000}"/>
    <cellStyle name="Currency 102" xfId="38101" xr:uid="{00000000-0005-0000-0000-0000FF940000}"/>
    <cellStyle name="Currency 103" xfId="38104" xr:uid="{00000000-0005-0000-0000-000002950000}"/>
    <cellStyle name="Currency 104" xfId="38107" xr:uid="{00000000-0005-0000-0000-000005950000}"/>
    <cellStyle name="Currency 105" xfId="38110" xr:uid="{00000000-0005-0000-0000-000008950000}"/>
    <cellStyle name="Currency 106" xfId="38113" xr:uid="{00000000-0005-0000-0000-00000B950000}"/>
    <cellStyle name="Currency 107" xfId="38116" xr:uid="{00000000-0005-0000-0000-00000E950000}"/>
    <cellStyle name="Currency 108" xfId="38119" xr:uid="{00000000-0005-0000-0000-000011950000}"/>
    <cellStyle name="Currency 109" xfId="38409" xr:uid="{00000000-0005-0000-0000-000038960000}"/>
    <cellStyle name="Currency 11" xfId="1959" xr:uid="{00000000-0005-0000-0000-0000EA060000}"/>
    <cellStyle name="Currency 110" xfId="38406" xr:uid="{00000000-0005-0000-0000-00003B960000}"/>
    <cellStyle name="Currency 111" xfId="38123" xr:uid="{00000000-0005-0000-0000-00003E960000}"/>
    <cellStyle name="Currency 112" xfId="38127" xr:uid="{00000000-0005-0000-0000-000042960000}"/>
    <cellStyle name="Currency 113" xfId="38415" xr:uid="{00000000-0005-0000-0000-000046960000}"/>
    <cellStyle name="Currency 114" xfId="38419" xr:uid="{00000000-0005-0000-0000-00004A960000}"/>
    <cellStyle name="Currency 115" xfId="38423" xr:uid="{00000000-0005-0000-0000-00004E960000}"/>
    <cellStyle name="Currency 116" xfId="38427" xr:uid="{00000000-0005-0000-0000-000052960000}"/>
    <cellStyle name="Currency 117" xfId="38431" xr:uid="{00000000-0005-0000-0000-000056960000}"/>
    <cellStyle name="Currency 118" xfId="38434" xr:uid="{00000000-0005-0000-0000-00005A960000}"/>
    <cellStyle name="Currency 119" xfId="38437" xr:uid="{00000000-0005-0000-0000-00005E960000}"/>
    <cellStyle name="Currency 12" xfId="23" xr:uid="{00000000-0005-0000-0000-0000EB060000}"/>
    <cellStyle name="Currency 120" xfId="38438" xr:uid="{00000000-0005-0000-0000-000062960000}"/>
    <cellStyle name="Currency 121" xfId="38442" xr:uid="{00000000-0005-0000-0000-000066960000}"/>
    <cellStyle name="Currency 122" xfId="38446" xr:uid="{00000000-0005-0000-0000-00006A960000}"/>
    <cellStyle name="Currency 123" xfId="38450" xr:uid="{00000000-0005-0000-0000-00006E960000}"/>
    <cellStyle name="Currency 124" xfId="38454" xr:uid="{00000000-0005-0000-0000-000072960000}"/>
    <cellStyle name="Currency 125" xfId="38458" xr:uid="{00000000-0005-0000-0000-000076960000}"/>
    <cellStyle name="Currency 126" xfId="38462" xr:uid="{00000000-0005-0000-0000-00007A960000}"/>
    <cellStyle name="Currency 127" xfId="38466" xr:uid="{00000000-0005-0000-0000-00007E960000}"/>
    <cellStyle name="Currency 128" xfId="38470" xr:uid="{00000000-0005-0000-0000-000082960000}"/>
    <cellStyle name="Currency 129" xfId="38477" xr:uid="{00000000-0005-0000-0000-000088960000}"/>
    <cellStyle name="Currency 13" xfId="2023" xr:uid="{00000000-0005-0000-0000-0000EC060000}"/>
    <cellStyle name="Currency 130" xfId="38482" xr:uid="{00000000-0005-0000-0000-00008B960000}"/>
    <cellStyle name="Currency 131" xfId="38483" xr:uid="{00000000-0005-0000-0000-00008F960000}"/>
    <cellStyle name="Currency 132" xfId="38490" xr:uid="{00000000-0005-0000-0000-000093960000}"/>
    <cellStyle name="Currency 133" xfId="38493" xr:uid="{00000000-0005-0000-0000-000087960000}"/>
    <cellStyle name="Currency 134" xfId="38497" xr:uid="{00000000-0005-0000-0000-00008B9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3" xfId="38128" xr:uid="{00000000-0005-0000-0000-00009601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0" xfId="38467" xr:uid="{00000000-0005-0000-0000-00007B960000}"/>
    <cellStyle name="Normal 101" xfId="2569" xr:uid="{00000000-0005-0000-0000-0000BD080000}"/>
    <cellStyle name="Normal 102" xfId="38471" xr:uid="{00000000-0005-0000-0000-00007F960000}"/>
    <cellStyle name="Normal 103" xfId="38474" xr:uid="{00000000-0005-0000-0000-000083960000}"/>
    <cellStyle name="Normal 104" xfId="38476" xr:uid="{00000000-0005-0000-0000-000089960000}"/>
    <cellStyle name="Normal 105" xfId="38479" xr:uid="{00000000-0005-0000-0000-00008C960000}"/>
    <cellStyle name="Normal 106" xfId="38486" xr:uid="{00000000-0005-0000-0000-000090960000}"/>
    <cellStyle name="Normal 107" xfId="38487" xr:uid="{00000000-0005-0000-0000-000094960000}"/>
    <cellStyle name="Normal 108" xfId="38491" xr:uid="{00000000-0005-0000-0000-000088960000}"/>
    <cellStyle name="Normal 109" xfId="38495" xr:uid="{00000000-0005-0000-0000-00008C96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10" xfId="38499" xr:uid="{00000000-0005-0000-0000-00008F960000}"/>
    <cellStyle name="Normal 111" xfId="38501" xr:uid="{00000000-0005-0000-0000-000091960000}"/>
    <cellStyle name="Normal 112" xfId="38503" xr:uid="{00000000-0005-0000-0000-000093960000}"/>
    <cellStyle name="Normal 113" xfId="38505" xr:uid="{00000000-0005-0000-0000-000095960000}"/>
    <cellStyle name="Normal 114" xfId="38507" xr:uid="{00000000-0005-0000-0000-000097960000}"/>
    <cellStyle name="Normal 115" xfId="38509" xr:uid="{00000000-0005-0000-0000-000099960000}"/>
    <cellStyle name="Normal 116" xfId="38511" xr:uid="{00000000-0005-0000-0000-00009B960000}"/>
    <cellStyle name="Normal 117" xfId="38513" xr:uid="{00000000-0005-0000-0000-00009D960000}"/>
    <cellStyle name="Normal 118" xfId="38515" xr:uid="{00000000-0005-0000-0000-00009F960000}"/>
    <cellStyle name="Normal 119" xfId="38517" xr:uid="{00000000-0005-0000-0000-0000A196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20" xfId="38519" xr:uid="{00000000-0005-0000-0000-0000A3960000}"/>
    <cellStyle name="Normal 121" xfId="38521" xr:uid="{00000000-0005-0000-0000-0000A5960000}"/>
    <cellStyle name="Normal 122" xfId="38523" xr:uid="{00000000-0005-0000-0000-0000A7960000}"/>
    <cellStyle name="Normal 123" xfId="38525" xr:uid="{00000000-0005-0000-0000-0000A9960000}"/>
    <cellStyle name="Normal 124" xfId="38527" xr:uid="{00000000-0005-0000-0000-0000AB960000}"/>
    <cellStyle name="Normal 125" xfId="38529" xr:uid="{00000000-0005-0000-0000-0000AD960000}"/>
    <cellStyle name="Normal 126" xfId="38531" xr:uid="{00000000-0005-0000-0000-0000AF960000}"/>
    <cellStyle name="Normal 127" xfId="38533" xr:uid="{00000000-0005-0000-0000-0000B1960000}"/>
    <cellStyle name="Normal 128" xfId="38535" xr:uid="{00000000-0005-0000-0000-0000B3960000}"/>
    <cellStyle name="Normal 129" xfId="38537" xr:uid="{00000000-0005-0000-0000-0000B596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30" xfId="38539" xr:uid="{00000000-0005-0000-0000-0000B7960000}"/>
    <cellStyle name="Normal 131" xfId="38541" xr:uid="{00000000-0005-0000-0000-0000B9960000}"/>
    <cellStyle name="Normal 132" xfId="38543" xr:uid="{00000000-0005-0000-0000-0000BB960000}"/>
    <cellStyle name="Normal 133" xfId="38545" xr:uid="{00000000-0005-0000-0000-0000BD960000}"/>
    <cellStyle name="Normal 134" xfId="38547" xr:uid="{00000000-0005-0000-0000-0000BF960000}"/>
    <cellStyle name="Normal 135" xfId="38549" xr:uid="{00000000-0005-0000-0000-0000C2960000}"/>
    <cellStyle name="Normal 136" xfId="38552" xr:uid="{00000000-0005-0000-0000-0000C4960000}"/>
    <cellStyle name="Normal 137" xfId="38557" xr:uid="{00000000-0005-0000-0000-0000C6960000}"/>
    <cellStyle name="Normal 138" xfId="38559" xr:uid="{00000000-0005-0000-0000-0000C8960000}"/>
    <cellStyle name="Normal 139" xfId="38561" xr:uid="{00000000-0005-0000-0000-0000CA96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40" xfId="38563" xr:uid="{00000000-0005-0000-0000-0000CC960000}"/>
    <cellStyle name="Normal 141" xfId="38564" xr:uid="{00000000-0005-0000-0000-0000CE960000}"/>
    <cellStyle name="Normal 142" xfId="38565" xr:uid="{00000000-0005-0000-0000-0000D096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0 3" xfId="38551" xr:uid="{586F9496-CAC6-4832-86AA-6C991F59689F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096" xr:uid="{00000000-0005-0000-0000-0000FD940000}"/>
    <cellStyle name="Normal 76" xfId="38099" xr:uid="{00000000-0005-0000-0000-000000950000}"/>
    <cellStyle name="Normal 77" xfId="38102" xr:uid="{00000000-0005-0000-0000-000003950000}"/>
    <cellStyle name="Normal 78" xfId="38105" xr:uid="{00000000-0005-0000-0000-000006950000}"/>
    <cellStyle name="Normal 79" xfId="38108" xr:uid="{00000000-0005-0000-0000-000009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0" xfId="38111" xr:uid="{00000000-0005-0000-0000-00000C950000}"/>
    <cellStyle name="Normal 81" xfId="38114" xr:uid="{00000000-0005-0000-0000-00000F950000}"/>
    <cellStyle name="Normal 82" xfId="38117" xr:uid="{00000000-0005-0000-0000-000012950000}"/>
    <cellStyle name="Normal 83" xfId="38411" xr:uid="{00000000-0005-0000-0000-000039960000}"/>
    <cellStyle name="Normal 84" xfId="38408" xr:uid="{00000000-0005-0000-0000-00003C960000}"/>
    <cellStyle name="Normal 85" xfId="38120" xr:uid="{00000000-0005-0000-0000-00003F960000}"/>
    <cellStyle name="Normal 86" xfId="38126" xr:uid="{00000000-0005-0000-0000-000043960000}"/>
    <cellStyle name="Normal 87" xfId="38412" xr:uid="{00000000-0005-0000-0000-000047960000}"/>
    <cellStyle name="Normal 88" xfId="38416" xr:uid="{00000000-0005-0000-0000-00004B960000}"/>
    <cellStyle name="Normal 89" xfId="38420" xr:uid="{00000000-0005-0000-0000-00004F96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0" xfId="38424" xr:uid="{00000000-0005-0000-0000-000053960000}"/>
    <cellStyle name="Normal 91" xfId="38428" xr:uid="{00000000-0005-0000-0000-000057960000}"/>
    <cellStyle name="Normal 92" xfId="38433" xr:uid="{00000000-0005-0000-0000-00005B960000}"/>
    <cellStyle name="Normal 93" xfId="38439" xr:uid="{00000000-0005-0000-0000-00005F960000}"/>
    <cellStyle name="Normal 94" xfId="38443" xr:uid="{00000000-0005-0000-0000-000063960000}"/>
    <cellStyle name="Normal 95" xfId="38447" xr:uid="{00000000-0005-0000-0000-000067960000}"/>
    <cellStyle name="Normal 96" xfId="38451" xr:uid="{00000000-0005-0000-0000-00006B960000}"/>
    <cellStyle name="Normal 97" xfId="38455" xr:uid="{00000000-0005-0000-0000-00006F960000}"/>
    <cellStyle name="Normal 98" xfId="38459" xr:uid="{00000000-0005-0000-0000-000073960000}"/>
    <cellStyle name="Normal 99" xfId="38463" xr:uid="{00000000-0005-0000-0000-00007796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8129" xr:uid="{00000000-0005-0000-0000-0000CE01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45" xfId="38122" xr:uid="{00000000-0005-0000-0000-000040960000}"/>
    <cellStyle name="Percent 46" xfId="38124" xr:uid="{00000000-0005-0000-0000-000044960000}"/>
    <cellStyle name="Percent 47" xfId="38414" xr:uid="{00000000-0005-0000-0000-000048960000}"/>
    <cellStyle name="Percent 48" xfId="38418" xr:uid="{00000000-0005-0000-0000-00004C960000}"/>
    <cellStyle name="Percent 49" xfId="38422" xr:uid="{00000000-0005-0000-0000-00005096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0" xfId="38426" xr:uid="{00000000-0005-0000-0000-000054960000}"/>
    <cellStyle name="Percent 51" xfId="38430" xr:uid="{00000000-0005-0000-0000-000058960000}"/>
    <cellStyle name="Percent 52" xfId="38435" xr:uid="{00000000-0005-0000-0000-00005C960000}"/>
    <cellStyle name="Percent 53" xfId="38440" xr:uid="{00000000-0005-0000-0000-000060960000}"/>
    <cellStyle name="Percent 54" xfId="38444" xr:uid="{00000000-0005-0000-0000-000064960000}"/>
    <cellStyle name="Percent 55" xfId="38448" xr:uid="{00000000-0005-0000-0000-000068960000}"/>
    <cellStyle name="Percent 56" xfId="38452" xr:uid="{00000000-0005-0000-0000-00006C960000}"/>
    <cellStyle name="Percent 57" xfId="38456" xr:uid="{00000000-0005-0000-0000-000070960000}"/>
    <cellStyle name="Percent 58" xfId="38460" xr:uid="{00000000-0005-0000-0000-000074960000}"/>
    <cellStyle name="Percent 59" xfId="38464" xr:uid="{00000000-0005-0000-0000-00007896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0" xfId="38468" xr:uid="{00000000-0005-0000-0000-00007C960000}"/>
    <cellStyle name="Percent 61" xfId="38472" xr:uid="{00000000-0005-0000-0000-000080960000}"/>
    <cellStyle name="Percent 62" xfId="38475" xr:uid="{00000000-0005-0000-0000-000084960000}"/>
    <cellStyle name="Percent 63" xfId="38481" xr:uid="{00000000-0005-0000-0000-00008D960000}"/>
    <cellStyle name="Percent 64" xfId="38484" xr:uid="{00000000-0005-0000-0000-000091960000}"/>
    <cellStyle name="Percent 65" xfId="38489" xr:uid="{00000000-0005-0000-0000-000095960000}"/>
    <cellStyle name="Percent 66" xfId="38494" xr:uid="{00000000-0005-0000-0000-000089960000}"/>
    <cellStyle name="Percent 67" xfId="38498" xr:uid="{00000000-0005-0000-0000-00008D96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8131" xr:uid="{00000000-0005-0000-0000-0000E001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132" xr:uid="{00000000-0005-0000-0000-0000E201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8133" xr:uid="{00000000-0005-0000-0000-0000E301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38130" xr:uid="{00000000-0005-0000-0000-0000DF01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38134" xr:uid="{00000000-0005-0000-0000-0000E801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38135" xr:uid="{00000000-0005-0000-0000-0000EB01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137" xr:uid="{00000000-0005-0000-0000-0000F401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136" xr:uid="{00000000-0005-0000-0000-0000F3010000}"/>
    <cellStyle name="SAPBEXaggDataEmph 3" xfId="564" xr:uid="{00000000-0005-0000-0000-00005E100000}"/>
    <cellStyle name="SAPBEXaggDataEmph 3 10" xfId="22292" xr:uid="{00000000-0005-0000-0000-00005F100000}"/>
    <cellStyle name="SAPBEXaggDataEmph 3 11" xfId="38138" xr:uid="{00000000-0005-0000-0000-0000F501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8139" xr:uid="{00000000-0005-0000-0000-0000F601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8141" xr:uid="{00000000-0005-0000-0000-0000F80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38140" xr:uid="{00000000-0005-0000-0000-0000F701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38142" xr:uid="{00000000-0005-0000-0000-0000FE01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8143" xr:uid="{00000000-0005-0000-0000-0000FF01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38144" xr:uid="{00000000-0005-0000-0000-00000002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38145" xr:uid="{00000000-0005-0000-0000-00000302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38147" xr:uid="{00000000-0005-0000-0000-00000C02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8148" xr:uid="{00000000-0005-0000-0000-00000D02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38146" xr:uid="{00000000-0005-0000-0000-00000B020000}"/>
    <cellStyle name="SAPBEXaggItemX 3" xfId="586" xr:uid="{00000000-0005-0000-0000-00009E150000}"/>
    <cellStyle name="SAPBEXaggItemX 3 10" xfId="4988" xr:uid="{00000000-0005-0000-0000-00009F150000}"/>
    <cellStyle name="SAPBEXaggItemX 3 11" xfId="38149" xr:uid="{00000000-0005-0000-0000-00000E02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38150" xr:uid="{00000000-0005-0000-0000-00000F02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38151" xr:uid="{00000000-0005-0000-0000-00001302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38152" xr:uid="{00000000-0005-0000-0000-000018020000}"/>
    <cellStyle name="SAPBEXchaText 5 2" xfId="597" xr:uid="{00000000-0005-0000-0000-000034170000}"/>
    <cellStyle name="SAPBEXchaText 5 2 10" xfId="38153" xr:uid="{00000000-0005-0000-0000-00001902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8154" xr:uid="{00000000-0005-0000-0000-00001A02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38156" xr:uid="{00000000-0005-0000-0000-00002602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38157" xr:uid="{00000000-0005-0000-0000-00002702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38155" xr:uid="{00000000-0005-0000-0000-00002402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8159" xr:uid="{00000000-0005-0000-0000-00002902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38158" xr:uid="{00000000-0005-0000-0000-00002802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8160" xr:uid="{00000000-0005-0000-0000-00002A02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38161" xr:uid="{00000000-0005-0000-0000-00003302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163" xr:uid="{00000000-0005-0000-0000-00003602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8164" xr:uid="{00000000-0005-0000-0000-00003702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38162" xr:uid="{00000000-0005-0000-0000-00003402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38166" xr:uid="{00000000-0005-0000-0000-00003902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8165" xr:uid="{00000000-0005-0000-0000-00003802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8167" xr:uid="{00000000-0005-0000-0000-00003A02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38168" xr:uid="{00000000-0005-0000-0000-00004302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38170" xr:uid="{00000000-0005-0000-0000-00004502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171" xr:uid="{00000000-0005-0000-0000-00004602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8172" xr:uid="{00000000-0005-0000-0000-00004702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38169" xr:uid="{00000000-0005-0000-0000-00004402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38174" xr:uid="{00000000-0005-0000-0000-00004902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8173" xr:uid="{00000000-0005-0000-0000-00004802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38175" xr:uid="{00000000-0005-0000-0000-00004A02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8176" xr:uid="{00000000-0005-0000-0000-00004B02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38177" xr:uid="{00000000-0005-0000-0000-00004C02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38178" xr:uid="{00000000-0005-0000-0000-00004D02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8179" xr:uid="{00000000-0005-0000-0000-00004E02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8180" xr:uid="{00000000-0005-0000-0000-00004F02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38181" xr:uid="{00000000-0005-0000-0000-00005002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38182" xr:uid="{00000000-0005-0000-0000-000051020000}"/>
    <cellStyle name="SAPBEXexcBad9 8 2" xfId="649" xr:uid="{00000000-0005-0000-0000-000024200000}"/>
    <cellStyle name="SAPBEXexcBad9 8 2 10" xfId="38183" xr:uid="{00000000-0005-0000-0000-00005202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8184" xr:uid="{00000000-0005-0000-0000-00005302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38186" xr:uid="{00000000-0005-0000-0000-00005702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38187" xr:uid="{00000000-0005-0000-0000-00005802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185" xr:uid="{00000000-0005-0000-0000-00005502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38189" xr:uid="{00000000-0005-0000-0000-00005A02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8188" xr:uid="{00000000-0005-0000-0000-00005902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8190" xr:uid="{00000000-0005-0000-0000-00005B0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38191" xr:uid="{00000000-0005-0000-0000-00006402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38193" xr:uid="{00000000-0005-0000-0000-00006702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8194" xr:uid="{00000000-0005-0000-0000-00006802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38192" xr:uid="{00000000-0005-0000-0000-00006502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38196" xr:uid="{00000000-0005-0000-0000-00006A02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38195" xr:uid="{00000000-0005-0000-0000-00006902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8197" xr:uid="{00000000-0005-0000-0000-00006B02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8198" xr:uid="{00000000-0005-0000-0000-00007402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38200" xr:uid="{00000000-0005-0000-0000-00007702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8201" xr:uid="{00000000-0005-0000-0000-00007802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38199" xr:uid="{00000000-0005-0000-0000-00007502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8203" xr:uid="{00000000-0005-0000-0000-00007A02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38202" xr:uid="{00000000-0005-0000-0000-00007902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38204" xr:uid="{00000000-0005-0000-0000-00007B02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8205" xr:uid="{00000000-0005-0000-0000-00008402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38207" xr:uid="{00000000-0005-0000-0000-00008802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8208" xr:uid="{00000000-0005-0000-0000-00008902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38206" xr:uid="{00000000-0005-0000-0000-00008602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38210" xr:uid="{00000000-0005-0000-0000-00008B02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38209" xr:uid="{00000000-0005-0000-0000-00008A02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8211" xr:uid="{00000000-0005-0000-0000-00008C02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8212" xr:uid="{00000000-0005-0000-0000-00009502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38214" xr:uid="{00000000-0005-0000-0000-00009802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8215" xr:uid="{00000000-0005-0000-0000-00009902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38213" xr:uid="{00000000-0005-0000-0000-00009602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8217" xr:uid="{00000000-0005-0000-0000-00009B02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38216" xr:uid="{00000000-0005-0000-0000-00009A02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38218" xr:uid="{00000000-0005-0000-0000-00009C02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8219" xr:uid="{00000000-0005-0000-0000-0000A502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38221" xr:uid="{00000000-0005-0000-0000-0000A802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38222" xr:uid="{00000000-0005-0000-0000-0000A902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38220" xr:uid="{00000000-0005-0000-0000-0000A602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38224" xr:uid="{00000000-0005-0000-0000-0000AB02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8223" xr:uid="{00000000-0005-0000-0000-0000AA02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8225" xr:uid="{00000000-0005-0000-0000-0000AC02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38226" xr:uid="{00000000-0005-0000-0000-0000B50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38227" xr:uid="{00000000-0005-0000-0000-0000B70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28" xr:uid="{00000000-0005-0000-0000-0000B80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38229" xr:uid="{00000000-0005-0000-0000-0000B9020000}"/>
    <cellStyle name="SAPBEXfilterDrill 4" xfId="744" xr:uid="{00000000-0005-0000-0000-000073320000}"/>
    <cellStyle name="SAPBEXfilterDrill 4 10" xfId="37983" xr:uid="{00000000-0005-0000-0000-000074320000}"/>
    <cellStyle name="SAPBEXfilterDrill 4 11" xfId="38230" xr:uid="{00000000-0005-0000-0000-0000BA020000}"/>
    <cellStyle name="SAPBEXfilterDrill 4 2" xfId="745" xr:uid="{00000000-0005-0000-0000-000075320000}"/>
    <cellStyle name="SAPBEXfilterDrill 4 2 10" xfId="38231" xr:uid="{00000000-0005-0000-0000-0000BB0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38232" xr:uid="{00000000-0005-0000-0000-0000BC020000}"/>
    <cellStyle name="SAPBEXfilterDrill 5 2" xfId="747" xr:uid="{00000000-0005-0000-0000-000089320000}"/>
    <cellStyle name="SAPBEXfilterDrill 5 2 10" xfId="38233" xr:uid="{00000000-0005-0000-0000-0000BD0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38234" xr:uid="{00000000-0005-0000-0000-0000BE020000}"/>
    <cellStyle name="SAPBEXfilterDrill 6 2" xfId="749" xr:uid="{00000000-0005-0000-0000-00009D320000}"/>
    <cellStyle name="SAPBEXfilterDrill 6 2 10" xfId="38235" xr:uid="{00000000-0005-0000-0000-0000BF0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38236" xr:uid="{00000000-0005-0000-0000-0000C0020000}"/>
    <cellStyle name="SAPBEXfilterDrill 7 2" xfId="751" xr:uid="{00000000-0005-0000-0000-0000B1320000}"/>
    <cellStyle name="SAPBEXfilterDrill 7 2 10" xfId="38237" xr:uid="{00000000-0005-0000-0000-0000C10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38238" xr:uid="{00000000-0005-0000-0000-0000C2020000}"/>
    <cellStyle name="SAPBEXfilterDrill 9" xfId="753" xr:uid="{00000000-0005-0000-0000-0000CA320000}"/>
    <cellStyle name="SAPBEXfilterDrill 9 10" xfId="38239" xr:uid="{00000000-0005-0000-0000-0000C30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10" xfId="38240" xr:uid="{00000000-0005-0000-0000-0000CB02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38241" xr:uid="{00000000-0005-0000-0000-0000D202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38243" xr:uid="{00000000-0005-0000-0000-0000D502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38242" xr:uid="{00000000-0005-0000-0000-0000D3020000}"/>
    <cellStyle name="SAPBEXformats 3" xfId="771" xr:uid="{00000000-0005-0000-0000-000096340000}"/>
    <cellStyle name="SAPBEXformats 3 10" xfId="38244" xr:uid="{00000000-0005-0000-0000-0000D602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8245" xr:uid="{00000000-0005-0000-0000-0000D702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38246" xr:uid="{00000000-0005-0000-0000-0000D802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38247" xr:uid="{00000000-0005-0000-0000-0000D902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8248" xr:uid="{00000000-0005-0000-0000-0000DA02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8249" xr:uid="{00000000-0005-0000-0000-0000E302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10" xfId="38250" xr:uid="{00000000-0005-0000-0000-0000E702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38251" xr:uid="{00000000-0005-0000-0000-0000E8020000}"/>
    <cellStyle name="SAPBEXheaderItem 2 2" xfId="788" xr:uid="{00000000-0005-0000-0000-000077360000}"/>
    <cellStyle name="SAPBEXheaderItem 2 2 10" xfId="38252" xr:uid="{00000000-0005-0000-0000-0000E902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11" xfId="38253" xr:uid="{00000000-0005-0000-0000-0000EC020000}"/>
    <cellStyle name="SAPBEXheaderItem 4 2" xfId="792" xr:uid="{00000000-0005-0000-0000-0000A5360000}"/>
    <cellStyle name="SAPBEXheaderItem 4 2 10" xfId="38254" xr:uid="{00000000-0005-0000-0000-0000ED02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38255" xr:uid="{00000000-0005-0000-0000-0000EE02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38256" xr:uid="{00000000-0005-0000-0000-0000EF020000}"/>
    <cellStyle name="SAPBEXheaderItem 6 2" xfId="795" xr:uid="{00000000-0005-0000-0000-0000D2360000}"/>
    <cellStyle name="SAPBEXheaderItem 6 2 10" xfId="38257" xr:uid="{00000000-0005-0000-0000-0000F002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38258" xr:uid="{00000000-0005-0000-0000-0000F1020000}"/>
    <cellStyle name="SAPBEXheaderItem 7 2" xfId="797" xr:uid="{00000000-0005-0000-0000-0000E6360000}"/>
    <cellStyle name="SAPBEXheaderItem 7 2 10" xfId="38259" xr:uid="{00000000-0005-0000-0000-0000F202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38260" xr:uid="{00000000-0005-0000-0000-0000F3020000}"/>
    <cellStyle name="SAPBEXheaderItem 8 2" xfId="799" xr:uid="{00000000-0005-0000-0000-0000FA360000}"/>
    <cellStyle name="SAPBEXheaderItem 8 2 10" xfId="38261" xr:uid="{00000000-0005-0000-0000-0000F402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38262" xr:uid="{00000000-0005-0000-0000-0000F5020000}"/>
    <cellStyle name="SAPBEXheaderItem 9 2" xfId="801" xr:uid="{00000000-0005-0000-0000-00000E370000}"/>
    <cellStyle name="SAPBEXheaderItem 9 2 10" xfId="38263" xr:uid="{00000000-0005-0000-0000-0000F602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10" xfId="38264" xr:uid="{00000000-0005-0000-0000-0000F902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38265" xr:uid="{00000000-0005-0000-0000-0000FA020000}"/>
    <cellStyle name="SAPBEXheaderText 2 2" xfId="805" xr:uid="{00000000-0005-0000-0000-00003B370000}"/>
    <cellStyle name="SAPBEXheaderText 2 2 10" xfId="38266" xr:uid="{00000000-0005-0000-0000-0000FB02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11" xfId="38267" xr:uid="{00000000-0005-0000-0000-0000FE020000}"/>
    <cellStyle name="SAPBEXheaderText 4 2" xfId="809" xr:uid="{00000000-0005-0000-0000-000069370000}"/>
    <cellStyle name="SAPBEXheaderText 4 2 10" xfId="38268" xr:uid="{00000000-0005-0000-0000-0000FF02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38269" xr:uid="{00000000-0005-0000-0000-00000003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38270" xr:uid="{00000000-0005-0000-0000-000001030000}"/>
    <cellStyle name="SAPBEXheaderText 6 2" xfId="812" xr:uid="{00000000-0005-0000-0000-000096370000}"/>
    <cellStyle name="SAPBEXheaderText 6 2 10" xfId="38271" xr:uid="{00000000-0005-0000-0000-00000203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38272" xr:uid="{00000000-0005-0000-0000-000003030000}"/>
    <cellStyle name="SAPBEXheaderText 7 2" xfId="814" xr:uid="{00000000-0005-0000-0000-0000AA370000}"/>
    <cellStyle name="SAPBEXheaderText 7 2 10" xfId="38273" xr:uid="{00000000-0005-0000-0000-00000403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38274" xr:uid="{00000000-0005-0000-0000-000005030000}"/>
    <cellStyle name="SAPBEXheaderText 8 2" xfId="816" xr:uid="{00000000-0005-0000-0000-0000BE370000}"/>
    <cellStyle name="SAPBEXheaderText 8 2 10" xfId="38275" xr:uid="{00000000-0005-0000-0000-00000603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38276" xr:uid="{00000000-0005-0000-0000-000007030000}"/>
    <cellStyle name="SAPBEXheaderText 9 2" xfId="818" xr:uid="{00000000-0005-0000-0000-0000D2370000}"/>
    <cellStyle name="SAPBEXheaderText 9 2 10" xfId="38277" xr:uid="{00000000-0005-0000-0000-00000803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38279" xr:uid="{00000000-0005-0000-0000-00000A03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78" xr:uid="{00000000-0005-0000-0000-00000903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80" xr:uid="{00000000-0005-0000-0000-00000B03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8282" xr:uid="{00000000-0005-0000-0000-00000D03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38281" xr:uid="{00000000-0005-0000-0000-00000C03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38283" xr:uid="{00000000-0005-0000-0000-00000E03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85" xr:uid="{00000000-0005-0000-0000-00001903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84" xr:uid="{00000000-0005-0000-0000-00001803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86" xr:uid="{00000000-0005-0000-0000-00001A03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88" xr:uid="{00000000-0005-0000-0000-00001C03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38287" xr:uid="{00000000-0005-0000-0000-00001B03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8289" xr:uid="{00000000-0005-0000-0000-00001D03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38291" xr:uid="{00000000-0005-0000-0000-00001F03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90" xr:uid="{00000000-0005-0000-0000-00001E03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92" xr:uid="{00000000-0005-0000-0000-00002003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38293" xr:uid="{00000000-0005-0000-0000-00002103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38295" xr:uid="{00000000-0005-0000-0000-00002303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94" xr:uid="{00000000-0005-0000-0000-00002203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96" xr:uid="{00000000-0005-0000-0000-00002403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38298" xr:uid="{00000000-0005-0000-0000-00002603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38297" xr:uid="{00000000-0005-0000-0000-00002503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38299" xr:uid="{00000000-0005-0000-0000-00002703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38301" xr:uid="{00000000-0005-0000-0000-00003203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300" xr:uid="{00000000-0005-0000-0000-00003103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302" xr:uid="{00000000-0005-0000-0000-00003303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38304" xr:uid="{00000000-0005-0000-0000-00003503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38303" xr:uid="{00000000-0005-0000-0000-00003403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8305" xr:uid="{00000000-0005-0000-0000-00003603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8307" xr:uid="{00000000-0005-0000-0000-00003803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306" xr:uid="{00000000-0005-0000-0000-00003703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8308" xr:uid="{00000000-0005-0000-0000-00003903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38309" xr:uid="{00000000-0005-0000-0000-00003A03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38311" xr:uid="{00000000-0005-0000-0000-00003C0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38310" xr:uid="{00000000-0005-0000-0000-00003B03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312" xr:uid="{00000000-0005-0000-0000-00003D03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38314" xr:uid="{00000000-0005-0000-0000-00003F03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38313" xr:uid="{00000000-0005-0000-0000-00003E03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38315" xr:uid="{00000000-0005-0000-0000-00004003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38317" xr:uid="{00000000-0005-0000-0000-00004B03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38316" xr:uid="{00000000-0005-0000-0000-00004A03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318" xr:uid="{00000000-0005-0000-0000-00004C03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38320" xr:uid="{00000000-0005-0000-0000-00004E03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38319" xr:uid="{00000000-0005-0000-0000-00004D03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8321" xr:uid="{00000000-0005-0000-0000-00004F03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8323" xr:uid="{00000000-0005-0000-0000-00005103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322" xr:uid="{00000000-0005-0000-0000-00005003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8324" xr:uid="{00000000-0005-0000-0000-00005203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38325" xr:uid="{00000000-0005-0000-0000-00005303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38327" xr:uid="{00000000-0005-0000-0000-0000550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38326" xr:uid="{00000000-0005-0000-0000-00005403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328" xr:uid="{00000000-0005-0000-0000-00005603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38330" xr:uid="{00000000-0005-0000-0000-00005803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38329" xr:uid="{00000000-0005-0000-0000-00005703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8331" xr:uid="{00000000-0005-0000-0000-00005903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333" xr:uid="{00000000-0005-0000-0000-00006403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38332" xr:uid="{00000000-0005-0000-0000-00006303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334" xr:uid="{00000000-0005-0000-0000-00006503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8336" xr:uid="{00000000-0005-0000-0000-00006703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38335" xr:uid="{00000000-0005-0000-0000-00006603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337" xr:uid="{00000000-0005-0000-0000-00006803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8339" xr:uid="{00000000-0005-0000-0000-00006A03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338" xr:uid="{00000000-0005-0000-0000-00006903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8340" xr:uid="{00000000-0005-0000-0000-00006B03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8341" xr:uid="{00000000-0005-0000-0000-00006C03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342" xr:uid="{00000000-0005-0000-0000-00006D03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38344" xr:uid="{00000000-0005-0000-0000-00007003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38343" xr:uid="{00000000-0005-0000-0000-00006F03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38345" xr:uid="{00000000-0005-0000-0000-00007103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38346" xr:uid="{00000000-0005-0000-0000-00007203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38347" xr:uid="{00000000-0005-0000-0000-00007303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38349" xr:uid="{00000000-0005-0000-0000-000075030000}"/>
    <cellStyle name="SAPBEXresData 2 2" xfId="937" xr:uid="{00000000-0005-0000-0000-000085820000}"/>
    <cellStyle name="SAPBEXresData 2 2 10" xfId="38350" xr:uid="{00000000-0005-0000-0000-00007603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38348" xr:uid="{00000000-0005-0000-0000-000074030000}"/>
    <cellStyle name="SAPBEXresData 3" xfId="938" xr:uid="{00000000-0005-0000-0000-0000C0820000}"/>
    <cellStyle name="SAPBEXresData 3 10" xfId="5114" xr:uid="{00000000-0005-0000-0000-0000C1820000}"/>
    <cellStyle name="SAPBEXresData 3 11" xfId="38351" xr:uid="{00000000-0005-0000-0000-00007703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38352" xr:uid="{00000000-0005-0000-0000-00007803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8353" xr:uid="{00000000-0005-0000-0000-00007903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38354" xr:uid="{00000000-0005-0000-0000-00007A0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38356" xr:uid="{00000000-0005-0000-0000-00007C03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38355" xr:uid="{00000000-0005-0000-0000-00007B030000}"/>
    <cellStyle name="SAPBEXresDataEmph 3" xfId="943" xr:uid="{00000000-0005-0000-0000-000089840000}"/>
    <cellStyle name="SAPBEXresDataEmph 3 10" xfId="38357" xr:uid="{00000000-0005-0000-0000-00007D03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8358" xr:uid="{00000000-0005-0000-0000-00007E03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38360" xr:uid="{00000000-0005-0000-0000-000080030000}"/>
    <cellStyle name="SAPBEXresItem 2 2" xfId="946" xr:uid="{00000000-0005-0000-0000-00000D860000}"/>
    <cellStyle name="SAPBEXresItem 2 2 10" xfId="38361" xr:uid="{00000000-0005-0000-0000-00008103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38359" xr:uid="{00000000-0005-0000-0000-00007F030000}"/>
    <cellStyle name="SAPBEXresItem 3" xfId="947" xr:uid="{00000000-0005-0000-0000-000048860000}"/>
    <cellStyle name="SAPBEXresItem 3 10" xfId="5123" xr:uid="{00000000-0005-0000-0000-000049860000}"/>
    <cellStyle name="SAPBEXresItem 3 11" xfId="38362" xr:uid="{00000000-0005-0000-0000-00008203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38363" xr:uid="{00000000-0005-0000-0000-00008303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38364" xr:uid="{00000000-0005-0000-0000-00008403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365" xr:uid="{00000000-0005-0000-0000-00008503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38367" xr:uid="{00000000-0005-0000-0000-000087030000}"/>
    <cellStyle name="SAPBEXresItemX 2 2" xfId="952" xr:uid="{00000000-0005-0000-0000-0000CF870000}"/>
    <cellStyle name="SAPBEXresItemX 2 2 10" xfId="38368" xr:uid="{00000000-0005-0000-0000-00008803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38366" xr:uid="{00000000-0005-0000-0000-000086030000}"/>
    <cellStyle name="SAPBEXresItemX 3" xfId="953" xr:uid="{00000000-0005-0000-0000-000008880000}"/>
    <cellStyle name="SAPBEXresItemX 3 10" xfId="5129" xr:uid="{00000000-0005-0000-0000-000009880000}"/>
    <cellStyle name="SAPBEXresItemX 3 11" xfId="38369" xr:uid="{00000000-0005-0000-0000-00008903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38370" xr:uid="{00000000-0005-0000-0000-00008A03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8371" xr:uid="{00000000-0005-0000-0000-00008B03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8373" xr:uid="{00000000-0005-0000-0000-00008D03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372" xr:uid="{00000000-0005-0000-0000-00008C03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374" xr:uid="{00000000-0005-0000-0000-000093030000}"/>
    <cellStyle name="SAPBEXstdData 3 2" xfId="963" xr:uid="{00000000-0005-0000-0000-0000078A0000}"/>
    <cellStyle name="SAPBEXstdData 3 2 10" xfId="38375" xr:uid="{00000000-0005-0000-0000-00009403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38376" xr:uid="{00000000-0005-0000-0000-00009503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38377" xr:uid="{00000000-0005-0000-0000-00009603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38378" xr:uid="{00000000-0005-0000-0000-00009903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38380" xr:uid="{00000000-0005-0000-0000-0000A203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38379" xr:uid="{00000000-0005-0000-0000-0000A1030000}"/>
    <cellStyle name="SAPBEXstdDataEmph 3" xfId="976" xr:uid="{00000000-0005-0000-0000-00003E8C0000}"/>
    <cellStyle name="SAPBEXstdDataEmph 3 10" xfId="22504" xr:uid="{00000000-0005-0000-0000-00003F8C0000}"/>
    <cellStyle name="SAPBEXstdDataEmph 3 11" xfId="38381" xr:uid="{00000000-0005-0000-0000-0000A303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38382" xr:uid="{00000000-0005-0000-0000-0000A403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8384" xr:uid="{00000000-0005-0000-0000-0000A603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383" xr:uid="{00000000-0005-0000-0000-0000A503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38385" xr:uid="{00000000-0005-0000-0000-0000AC030000}"/>
    <cellStyle name="SAPBEXstdItem 3 2" xfId="985" xr:uid="{00000000-0005-0000-0000-00003E8E0000}"/>
    <cellStyle name="SAPBEXstdItem 3 2 10" xfId="38386" xr:uid="{00000000-0005-0000-0000-0000AD03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387" xr:uid="{00000000-0005-0000-0000-0000AE03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38388" xr:uid="{00000000-0005-0000-0000-0000AF03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38389" xr:uid="{00000000-0005-0000-0000-0000B2030000}"/>
    <cellStyle name="SAPBEXstdItem 6 2" xfId="991" xr:uid="{00000000-0005-0000-0000-0000E38E0000}"/>
    <cellStyle name="SAPBEXstdItem 6 2 10" xfId="38390" xr:uid="{00000000-0005-0000-0000-0000B303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38391" xr:uid="{00000000-0005-0000-0000-0000B403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38393" xr:uid="{00000000-0005-0000-0000-0000BD03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38392" xr:uid="{00000000-0005-0000-0000-0000BC030000}"/>
    <cellStyle name="SAPBEXstdItemX 3" xfId="1001" xr:uid="{00000000-0005-0000-0000-00008C900000}"/>
    <cellStyle name="SAPBEXstdItemX 3 10" xfId="5153" xr:uid="{00000000-0005-0000-0000-00008D900000}"/>
    <cellStyle name="SAPBEXstdItemX 3 11" xfId="38394" xr:uid="{00000000-0005-0000-0000-0000BE03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38395" xr:uid="{00000000-0005-0000-0000-0000BF03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38396" xr:uid="{00000000-0005-0000-0000-0000C0030000}"/>
    <cellStyle name="SAPBEXstdItemX 4 2" xfId="1004" xr:uid="{00000000-0005-0000-0000-0000BC900000}"/>
    <cellStyle name="SAPBEXstdItemX 4 2 10" xfId="38397" xr:uid="{00000000-0005-0000-0000-0000C103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8398" xr:uid="{00000000-0005-0000-0000-0000C203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19" xfId="38399" xr:uid="{00000000-0005-0000-0000-0000C703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5 9" xfId="38400" xr:uid="{00000000-0005-0000-0000-0000CC03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38402" xr:uid="{00000000-0005-0000-0000-0000D903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38401" xr:uid="{00000000-0005-0000-0000-0000D8030000}"/>
    <cellStyle name="SAPBEXundefined 3" xfId="1023" xr:uid="{00000000-0005-0000-0000-0000FD920000}"/>
    <cellStyle name="SAPBEXundefined 3 10" xfId="22517" xr:uid="{00000000-0005-0000-0000-0000FE920000}"/>
    <cellStyle name="SAPBEXundefined 3 11" xfId="38403" xr:uid="{00000000-0005-0000-0000-0000DA03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8404" xr:uid="{00000000-0005-0000-0000-0000DB0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38405" xr:uid="{00000000-0005-0000-0000-0000E503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7D21A600-B59F-4DA1-AAD9-A65954204DEB}"/>
  </tableStyles>
  <colors>
    <mruColors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93</xdr:row>
      <xdr:rowOff>9525</xdr:rowOff>
    </xdr:from>
    <xdr:to>
      <xdr:col>1</xdr:col>
      <xdr:colOff>3581077</xdr:colOff>
      <xdr:row>93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E3701F-3974-4C6E-8135-622D244795F9}"/>
            </a:ext>
          </a:extLst>
        </xdr:cNvPr>
        <xdr:cNvSpPr>
          <a:spLocks noChangeShapeType="1"/>
        </xdr:cNvSpPr>
      </xdr:nvSpPr>
      <xdr:spPr bwMode="auto">
        <a:xfrm>
          <a:off x="1900239" y="18786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105</xdr:row>
      <xdr:rowOff>-1</xdr:rowOff>
    </xdr:from>
    <xdr:to>
      <xdr:col>2</xdr:col>
      <xdr:colOff>312424</xdr:colOff>
      <xdr:row>105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4F1ABE4-6719-4C90-B2D6-DC5F4FD4134B}"/>
            </a:ext>
          </a:extLst>
        </xdr:cNvPr>
        <xdr:cNvSpPr>
          <a:spLocks noChangeShapeType="1"/>
        </xdr:cNvSpPr>
      </xdr:nvSpPr>
      <xdr:spPr bwMode="auto">
        <a:xfrm>
          <a:off x="1757367" y="211391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577F8B4-BA54-49E5-A660-E6ECE1370F30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DF6BB53-C2B7-4566-AC2E-BA08DF3C951D}"/>
            </a:ext>
          </a:extLst>
        </xdr:cNvPr>
        <xdr:cNvSpPr>
          <a:spLocks noChangeShapeType="1"/>
        </xdr:cNvSpPr>
      </xdr:nvSpPr>
      <xdr:spPr bwMode="auto">
        <a:xfrm>
          <a:off x="1900239" y="28019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8DC50E0-516F-4CA2-9712-8EB8C1246744}"/>
            </a:ext>
          </a:extLst>
        </xdr:cNvPr>
        <xdr:cNvSpPr>
          <a:spLocks noChangeShapeType="1"/>
        </xdr:cNvSpPr>
      </xdr:nvSpPr>
      <xdr:spPr bwMode="auto">
        <a:xfrm>
          <a:off x="1757367" y="30372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94</xdr:row>
      <xdr:rowOff>9525</xdr:rowOff>
    </xdr:from>
    <xdr:to>
      <xdr:col>1</xdr:col>
      <xdr:colOff>3581077</xdr:colOff>
      <xdr:row>94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75DFD9-0C13-4782-B904-79CAEA2AB3D7}"/>
            </a:ext>
          </a:extLst>
        </xdr:cNvPr>
        <xdr:cNvSpPr>
          <a:spLocks noChangeShapeType="1"/>
        </xdr:cNvSpPr>
      </xdr:nvSpPr>
      <xdr:spPr bwMode="auto">
        <a:xfrm>
          <a:off x="1900239" y="18786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106</xdr:row>
      <xdr:rowOff>-1</xdr:rowOff>
    </xdr:from>
    <xdr:to>
      <xdr:col>2</xdr:col>
      <xdr:colOff>312424</xdr:colOff>
      <xdr:row>106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51E12B6-AF91-4D15-933A-DD809FEE1C06}"/>
            </a:ext>
          </a:extLst>
        </xdr:cNvPr>
        <xdr:cNvSpPr>
          <a:spLocks noChangeShapeType="1"/>
        </xdr:cNvSpPr>
      </xdr:nvSpPr>
      <xdr:spPr bwMode="auto">
        <a:xfrm>
          <a:off x="1757367" y="211391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47BB093-FE07-43A2-85B9-25B0FC050545}"/>
            </a:ext>
          </a:extLst>
        </xdr:cNvPr>
        <xdr:cNvSpPr>
          <a:spLocks noChangeShapeType="1"/>
        </xdr:cNvSpPr>
      </xdr:nvSpPr>
      <xdr:spPr bwMode="auto">
        <a:xfrm>
          <a:off x="1900239" y="27822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140</xdr:row>
      <xdr:rowOff>9525</xdr:rowOff>
    </xdr:from>
    <xdr:to>
      <xdr:col>1</xdr:col>
      <xdr:colOff>3581077</xdr:colOff>
      <xdr:row>140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B0DEBE-315B-4CF8-9DDE-3366A09A1C3C}"/>
            </a:ext>
          </a:extLst>
        </xdr:cNvPr>
        <xdr:cNvSpPr>
          <a:spLocks noChangeShapeType="1"/>
        </xdr:cNvSpPr>
      </xdr:nvSpPr>
      <xdr:spPr bwMode="auto">
        <a:xfrm>
          <a:off x="1900239" y="278225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152</xdr:row>
      <xdr:rowOff>-1</xdr:rowOff>
    </xdr:from>
    <xdr:to>
      <xdr:col>2</xdr:col>
      <xdr:colOff>312424</xdr:colOff>
      <xdr:row>152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E26D5E1-5D06-424A-A593-4F3090167B35}"/>
            </a:ext>
          </a:extLst>
        </xdr:cNvPr>
        <xdr:cNvSpPr>
          <a:spLocks noChangeShapeType="1"/>
        </xdr:cNvSpPr>
      </xdr:nvSpPr>
      <xdr:spPr bwMode="auto">
        <a:xfrm>
          <a:off x="1757367" y="301751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9063-FE67-4C01-BE6B-C03349E37A17}">
  <sheetPr>
    <pageSetUpPr fitToPage="1"/>
  </sheetPr>
  <dimension ref="A2:H41"/>
  <sheetViews>
    <sheetView tabSelected="1" zoomScale="80" zoomScaleNormal="80" workbookViewId="0"/>
  </sheetViews>
  <sheetFormatPr defaultColWidth="9.1796875" defaultRowHeight="14.5"/>
  <cols>
    <col min="1" max="1" width="4.81640625" style="638" bestFit="1" customWidth="1"/>
    <col min="2" max="2" width="76.6328125" style="638" customWidth="1"/>
    <col min="3" max="3" width="1.6328125" style="638" customWidth="1"/>
    <col min="4" max="4" width="20.81640625" style="638" customWidth="1"/>
    <col min="5" max="5" width="1.54296875" style="638" customWidth="1"/>
    <col min="6" max="6" width="40.6328125" style="638" customWidth="1"/>
    <col min="7" max="7" width="4.81640625" style="638" customWidth="1"/>
    <col min="8" max="16384" width="9.1796875" style="638"/>
  </cols>
  <sheetData>
    <row r="2" spans="1:8" ht="17.5">
      <c r="B2" s="1010" t="s">
        <v>57</v>
      </c>
      <c r="C2" s="1010"/>
      <c r="D2" s="1010"/>
      <c r="E2" s="1010"/>
      <c r="F2" s="1010"/>
    </row>
    <row r="3" spans="1:8" ht="17.5">
      <c r="B3" s="639" t="s">
        <v>442</v>
      </c>
      <c r="C3" s="640"/>
      <c r="D3" s="641"/>
      <c r="E3" s="641"/>
      <c r="F3" s="641"/>
    </row>
    <row r="4" spans="1:8" ht="17.5" customHeight="1">
      <c r="B4" s="1011" t="s">
        <v>772</v>
      </c>
      <c r="C4" s="1011"/>
      <c r="D4" s="1011"/>
      <c r="E4" s="1011"/>
      <c r="F4" s="1011"/>
    </row>
    <row r="5" spans="1:8" ht="17.5">
      <c r="B5" s="642" t="s">
        <v>450</v>
      </c>
      <c r="C5" s="640"/>
      <c r="D5" s="640"/>
      <c r="E5" s="640"/>
      <c r="F5" s="640"/>
    </row>
    <row r="6" spans="1:8" ht="15.5">
      <c r="B6" s="1012" t="s">
        <v>1</v>
      </c>
      <c r="C6" s="1012"/>
      <c r="D6" s="1012"/>
      <c r="E6" s="1012"/>
      <c r="F6" s="1012"/>
      <c r="G6" s="643"/>
      <c r="H6" s="643"/>
    </row>
    <row r="7" spans="1:8" ht="15.5">
      <c r="B7" s="71"/>
      <c r="C7" s="71"/>
      <c r="D7" s="644"/>
      <c r="E7" s="645"/>
      <c r="F7" s="71"/>
      <c r="G7" s="71"/>
    </row>
    <row r="8" spans="1:8" ht="15.5">
      <c r="A8" s="2" t="s">
        <v>2</v>
      </c>
      <c r="G8" s="2" t="s">
        <v>2</v>
      </c>
    </row>
    <row r="9" spans="1:8" ht="15.5">
      <c r="A9" s="646" t="s">
        <v>3</v>
      </c>
      <c r="B9" s="73" t="s">
        <v>114</v>
      </c>
      <c r="C9" s="73"/>
      <c r="D9" s="73" t="s">
        <v>33</v>
      </c>
      <c r="E9" s="75"/>
      <c r="F9" s="73" t="s">
        <v>5</v>
      </c>
      <c r="G9" s="646" t="s">
        <v>3</v>
      </c>
    </row>
    <row r="10" spans="1:8" ht="15.5">
      <c r="A10" s="2"/>
      <c r="B10" s="71"/>
      <c r="C10" s="71"/>
      <c r="D10" s="72"/>
      <c r="E10" s="72"/>
      <c r="F10" s="72"/>
      <c r="G10" s="2"/>
    </row>
    <row r="11" spans="1:8" ht="15.5">
      <c r="A11" s="2">
        <v>1</v>
      </c>
      <c r="B11" s="645" t="s">
        <v>700</v>
      </c>
      <c r="C11" s="645"/>
      <c r="D11" s="72"/>
      <c r="E11" s="72"/>
      <c r="F11" s="72"/>
      <c r="G11" s="2">
        <v>1</v>
      </c>
    </row>
    <row r="12" spans="1:8" ht="15.5">
      <c r="A12" s="2">
        <f>A11+1</f>
        <v>2</v>
      </c>
      <c r="B12" s="645"/>
      <c r="C12" s="645"/>
      <c r="D12" s="72"/>
      <c r="E12" s="72"/>
      <c r="F12" s="72"/>
      <c r="G12" s="2">
        <f>G11+1</f>
        <v>2</v>
      </c>
    </row>
    <row r="13" spans="1:8" ht="15.5">
      <c r="A13" s="2">
        <f t="shared" ref="A13:A21" si="0">A12+1</f>
        <v>3</v>
      </c>
      <c r="B13" s="647" t="s">
        <v>443</v>
      </c>
      <c r="C13" s="648"/>
      <c r="D13" s="992">
        <f>'Pg2 App X C7 Comparison'!G31</f>
        <v>1.5840737045400601</v>
      </c>
      <c r="E13" s="649"/>
      <c r="F13" s="72" t="s">
        <v>688</v>
      </c>
      <c r="G13" s="2">
        <f t="shared" ref="G13:G21" si="1">G12+1</f>
        <v>3</v>
      </c>
    </row>
    <row r="14" spans="1:8" ht="15.5">
      <c r="A14" s="2">
        <f t="shared" si="0"/>
        <v>4</v>
      </c>
      <c r="B14" s="71"/>
      <c r="C14" s="72"/>
      <c r="D14" s="649"/>
      <c r="E14" s="649"/>
      <c r="F14" s="72"/>
      <c r="G14" s="2">
        <f t="shared" si="1"/>
        <v>4</v>
      </c>
    </row>
    <row r="15" spans="1:8" ht="15.5">
      <c r="A15" s="2">
        <f t="shared" si="0"/>
        <v>5</v>
      </c>
      <c r="B15" s="71" t="s">
        <v>444</v>
      </c>
      <c r="C15" s="72"/>
      <c r="D15" s="993">
        <f>'Pg15 App X C7 Int Calc'!G113</f>
        <v>0.75876331874395031</v>
      </c>
      <c r="E15" s="650"/>
      <c r="F15" s="72" t="s">
        <v>782</v>
      </c>
      <c r="G15" s="2">
        <f t="shared" si="1"/>
        <v>5</v>
      </c>
    </row>
    <row r="16" spans="1:8" ht="15.5">
      <c r="A16" s="2">
        <f t="shared" si="0"/>
        <v>6</v>
      </c>
      <c r="B16" s="71"/>
      <c r="C16" s="72"/>
      <c r="D16" s="651"/>
      <c r="E16" s="651"/>
      <c r="F16" s="72"/>
      <c r="G16" s="2">
        <f t="shared" si="1"/>
        <v>6</v>
      </c>
    </row>
    <row r="17" spans="1:7" ht="15.5">
      <c r="A17" s="2">
        <f t="shared" si="0"/>
        <v>7</v>
      </c>
      <c r="B17" s="652" t="s">
        <v>445</v>
      </c>
      <c r="C17" s="75"/>
      <c r="D17" s="994">
        <f>D13+D15</f>
        <v>2.3428370232840106</v>
      </c>
      <c r="E17" s="649"/>
      <c r="F17" s="72" t="s">
        <v>446</v>
      </c>
      <c r="G17" s="2">
        <f t="shared" si="1"/>
        <v>7</v>
      </c>
    </row>
    <row r="18" spans="1:7" ht="15.5">
      <c r="A18" s="2">
        <f t="shared" si="0"/>
        <v>8</v>
      </c>
      <c r="B18" s="71"/>
      <c r="C18" s="72"/>
      <c r="D18" s="104"/>
      <c r="E18" s="71"/>
      <c r="F18" s="71"/>
      <c r="G18" s="2">
        <f t="shared" si="1"/>
        <v>8</v>
      </c>
    </row>
    <row r="19" spans="1:7" ht="15.5">
      <c r="A19" s="2">
        <f t="shared" si="0"/>
        <v>9</v>
      </c>
      <c r="B19" s="83" t="s">
        <v>447</v>
      </c>
      <c r="C19" s="72"/>
      <c r="D19" s="623">
        <v>12</v>
      </c>
      <c r="E19" s="71"/>
      <c r="F19" s="71"/>
      <c r="G19" s="2">
        <f t="shared" si="1"/>
        <v>9</v>
      </c>
    </row>
    <row r="20" spans="1:7" ht="15.5">
      <c r="A20" s="2">
        <f t="shared" si="0"/>
        <v>10</v>
      </c>
      <c r="B20" s="71"/>
      <c r="C20" s="72"/>
      <c r="D20" s="104"/>
      <c r="E20" s="71"/>
      <c r="F20" s="71"/>
      <c r="G20" s="2">
        <f t="shared" si="1"/>
        <v>10</v>
      </c>
    </row>
    <row r="21" spans="1:7" ht="16" thickBot="1">
      <c r="A21" s="2">
        <f t="shared" si="0"/>
        <v>11</v>
      </c>
      <c r="B21" s="652" t="s">
        <v>448</v>
      </c>
      <c r="C21" s="71"/>
      <c r="D21" s="653">
        <f>D17/12</f>
        <v>0.19523641860700089</v>
      </c>
      <c r="E21" s="71"/>
      <c r="F21" s="72" t="s">
        <v>449</v>
      </c>
      <c r="G21" s="2">
        <f t="shared" si="1"/>
        <v>11</v>
      </c>
    </row>
    <row r="22" spans="1:7" ht="16" thickTop="1">
      <c r="A22" s="2"/>
      <c r="B22" s="654"/>
      <c r="C22" s="71"/>
      <c r="D22" s="655"/>
      <c r="E22" s="71"/>
      <c r="F22" s="71"/>
      <c r="G22" s="71"/>
    </row>
    <row r="23" spans="1:7" ht="15.5">
      <c r="B23" s="71"/>
      <c r="C23" s="71"/>
      <c r="D23" s="71"/>
      <c r="E23" s="71"/>
      <c r="F23" s="71"/>
      <c r="G23" s="71"/>
    </row>
    <row r="24" spans="1:7" ht="17">
      <c r="A24" s="656">
        <v>1</v>
      </c>
      <c r="B24" s="657" t="s">
        <v>739</v>
      </c>
      <c r="C24" s="71"/>
      <c r="D24" s="71"/>
      <c r="E24" s="71"/>
      <c r="F24" s="71"/>
      <c r="G24" s="71"/>
    </row>
    <row r="25" spans="1:7" ht="15.5">
      <c r="B25" s="657" t="s">
        <v>798</v>
      </c>
      <c r="C25" s="71"/>
      <c r="D25" s="71"/>
      <c r="E25" s="71"/>
      <c r="F25" s="71"/>
      <c r="G25" s="71"/>
    </row>
    <row r="26" spans="1:7" ht="15.5">
      <c r="B26" s="1008" t="s">
        <v>799</v>
      </c>
      <c r="C26" s="71"/>
      <c r="D26" s="71"/>
      <c r="E26" s="71"/>
      <c r="F26" s="71"/>
      <c r="G26" s="71"/>
    </row>
    <row r="27" spans="1:7" ht="15.5">
      <c r="B27" s="71" t="s">
        <v>800</v>
      </c>
      <c r="C27" s="71"/>
      <c r="D27" s="71"/>
      <c r="E27" s="71"/>
      <c r="F27" s="71"/>
      <c r="G27" s="71"/>
    </row>
    <row r="28" spans="1:7" ht="15.5">
      <c r="B28" s="657"/>
      <c r="C28" s="71"/>
      <c r="D28" s="71"/>
      <c r="E28" s="71"/>
      <c r="F28" s="71"/>
      <c r="G28" s="71"/>
    </row>
    <row r="29" spans="1:7" ht="17">
      <c r="A29" s="656"/>
      <c r="B29" s="657"/>
      <c r="C29" s="71"/>
      <c r="D29" s="71"/>
      <c r="E29" s="71"/>
      <c r="F29" s="71"/>
      <c r="G29" s="71"/>
    </row>
    <row r="30" spans="1:7" ht="15.5">
      <c r="B30" s="71"/>
      <c r="C30" s="71"/>
      <c r="D30" s="71"/>
      <c r="E30" s="71"/>
      <c r="F30" s="71"/>
      <c r="G30" s="71"/>
    </row>
    <row r="31" spans="1:7" ht="15.5">
      <c r="B31" s="71"/>
      <c r="C31" s="71"/>
      <c r="D31" s="71"/>
      <c r="E31" s="71"/>
      <c r="F31" s="71"/>
      <c r="G31" s="71"/>
    </row>
    <row r="32" spans="1:7" ht="15.5">
      <c r="B32" s="71"/>
      <c r="C32" s="71"/>
      <c r="D32" s="71"/>
      <c r="E32" s="71"/>
      <c r="F32" s="71"/>
      <c r="G32" s="71"/>
    </row>
    <row r="33" spans="2:7" ht="15.5">
      <c r="B33" s="71"/>
      <c r="C33" s="71"/>
      <c r="D33" s="71"/>
      <c r="E33" s="71"/>
      <c r="F33" s="71"/>
      <c r="G33" s="71"/>
    </row>
    <row r="34" spans="2:7" ht="15.5">
      <c r="B34" s="71"/>
      <c r="C34" s="71"/>
      <c r="D34" s="71"/>
      <c r="E34" s="71"/>
      <c r="F34" s="71"/>
      <c r="G34" s="71"/>
    </row>
    <row r="35" spans="2:7" ht="15.5">
      <c r="B35" s="71"/>
      <c r="C35" s="71"/>
      <c r="D35" s="71"/>
      <c r="E35" s="71"/>
      <c r="F35" s="71"/>
      <c r="G35" s="71"/>
    </row>
    <row r="36" spans="2:7" ht="15.5">
      <c r="B36" s="71"/>
      <c r="C36" s="71"/>
      <c r="D36" s="71"/>
      <c r="E36" s="71"/>
      <c r="F36" s="71"/>
      <c r="G36" s="71"/>
    </row>
    <row r="37" spans="2:7" ht="15.5">
      <c r="B37" s="71"/>
      <c r="C37" s="71"/>
      <c r="D37" s="71"/>
      <c r="E37" s="71"/>
      <c r="F37" s="71"/>
      <c r="G37" s="71"/>
    </row>
    <row r="38" spans="2:7" ht="15.5">
      <c r="B38" s="71"/>
      <c r="C38" s="71"/>
      <c r="D38" s="71"/>
      <c r="E38" s="71"/>
      <c r="F38" s="71"/>
      <c r="G38" s="71"/>
    </row>
    <row r="39" spans="2:7" ht="15.5">
      <c r="B39" s="71"/>
      <c r="C39" s="71"/>
      <c r="D39" s="71"/>
      <c r="E39" s="71"/>
      <c r="F39" s="71"/>
      <c r="G39" s="71"/>
    </row>
    <row r="40" spans="2:7" ht="15.5">
      <c r="B40" s="71"/>
      <c r="C40" s="71"/>
      <c r="D40" s="71"/>
      <c r="E40" s="71"/>
      <c r="F40" s="71"/>
      <c r="G40" s="71"/>
    </row>
    <row r="41" spans="2:7" ht="15.5">
      <c r="B41" s="71"/>
      <c r="C41" s="71"/>
      <c r="D41" s="71"/>
      <c r="E41" s="71"/>
      <c r="F41" s="71"/>
      <c r="G41" s="71"/>
    </row>
  </sheetData>
  <mergeCells count="3">
    <mergeCell ref="B2:F2"/>
    <mergeCell ref="B4:F4"/>
    <mergeCell ref="B6:F6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EC15-1737-46EE-9EA8-B76B6D9A9D9B}">
  <sheetPr>
    <pageSetUpPr fitToPage="1"/>
  </sheetPr>
  <dimension ref="A2:M64"/>
  <sheetViews>
    <sheetView zoomScale="80" zoomScaleNormal="80" workbookViewId="0"/>
  </sheetViews>
  <sheetFormatPr defaultColWidth="8.81640625" defaultRowHeight="15.5"/>
  <cols>
    <col min="1" max="1" width="5.08984375" style="106" customWidth="1"/>
    <col min="2" max="2" width="69.08984375" style="7" customWidth="1"/>
    <col min="3" max="3" width="19.1796875" style="7" customWidth="1"/>
    <col min="4" max="4" width="1.6328125" style="7" customWidth="1"/>
    <col min="5" max="5" width="19.36328125" style="7" customWidth="1"/>
    <col min="6" max="6" width="1.6328125" style="7" customWidth="1"/>
    <col min="7" max="7" width="15.1796875" style="7" customWidth="1"/>
    <col min="8" max="8" width="45.81640625" style="7" customWidth="1"/>
    <col min="9" max="9" width="5.08984375" style="106" customWidth="1"/>
    <col min="10" max="10" width="10.1796875" style="7" bestFit="1" customWidth="1"/>
    <col min="11" max="11" width="14.1796875" style="7" customWidth="1"/>
    <col min="12" max="16384" width="8.81640625" style="7"/>
  </cols>
  <sheetData>
    <row r="2" spans="1:11">
      <c r="A2" s="658"/>
      <c r="B2" s="1013" t="s">
        <v>0</v>
      </c>
      <c r="C2" s="1013"/>
      <c r="D2" s="1013"/>
      <c r="E2" s="1013"/>
      <c r="F2" s="1013"/>
      <c r="G2" s="1013"/>
      <c r="H2" s="1013"/>
      <c r="I2" s="658"/>
    </row>
    <row r="3" spans="1:11">
      <c r="B3" s="1013" t="s">
        <v>451</v>
      </c>
      <c r="C3" s="1013"/>
      <c r="D3" s="1013"/>
      <c r="E3" s="1013"/>
      <c r="F3" s="1013"/>
      <c r="G3" s="1013"/>
      <c r="H3" s="1013"/>
      <c r="I3" s="110"/>
    </row>
    <row r="4" spans="1:11" ht="17.25" customHeight="1">
      <c r="B4" s="1013" t="s">
        <v>773</v>
      </c>
      <c r="C4" s="1013"/>
      <c r="D4" s="1013"/>
      <c r="E4" s="1013"/>
      <c r="F4" s="1013"/>
      <c r="G4" s="1013"/>
      <c r="H4" s="1013"/>
      <c r="I4" s="110"/>
    </row>
    <row r="5" spans="1:11">
      <c r="B5" s="1013" t="s">
        <v>450</v>
      </c>
      <c r="C5" s="1013"/>
      <c r="D5" s="1013"/>
      <c r="E5" s="1013"/>
      <c r="F5" s="1013"/>
      <c r="G5" s="1013"/>
      <c r="H5" s="1013"/>
      <c r="I5" s="110"/>
    </row>
    <row r="6" spans="1:11">
      <c r="B6" s="1014" t="s">
        <v>1</v>
      </c>
      <c r="C6" s="1013"/>
      <c r="D6" s="1013"/>
      <c r="E6" s="1013"/>
      <c r="F6" s="1013"/>
      <c r="G6" s="1013"/>
      <c r="H6" s="1013"/>
      <c r="I6" s="110"/>
    </row>
    <row r="7" spans="1:11">
      <c r="B7" s="616"/>
      <c r="C7" s="93"/>
      <c r="D7" s="93"/>
      <c r="E7" s="93"/>
      <c r="F7" s="93"/>
      <c r="G7" s="93"/>
      <c r="H7" s="93"/>
      <c r="I7" s="110"/>
    </row>
    <row r="8" spans="1:11" ht="16" thickBot="1">
      <c r="A8" s="658"/>
      <c r="B8" s="93"/>
      <c r="C8" s="659" t="s">
        <v>452</v>
      </c>
      <c r="D8" s="660"/>
      <c r="E8" s="659" t="s">
        <v>453</v>
      </c>
      <c r="F8" s="659"/>
      <c r="G8" s="659" t="s">
        <v>454</v>
      </c>
      <c r="H8" s="659"/>
      <c r="I8" s="658"/>
    </row>
    <row r="9" spans="1:11" ht="48.5" customHeight="1">
      <c r="A9" s="326"/>
      <c r="B9" s="661"/>
      <c r="C9" s="991" t="s">
        <v>473</v>
      </c>
      <c r="D9" s="93"/>
      <c r="E9" s="961" t="s">
        <v>787</v>
      </c>
      <c r="F9" s="662"/>
      <c r="G9" s="663" t="s">
        <v>455</v>
      </c>
      <c r="H9" s="664"/>
      <c r="I9" s="328"/>
    </row>
    <row r="10" spans="1:11">
      <c r="A10" s="326" t="s">
        <v>2</v>
      </c>
      <c r="B10" s="67"/>
      <c r="C10" s="665" t="s">
        <v>23</v>
      </c>
      <c r="D10" s="93"/>
      <c r="E10" s="93" t="s">
        <v>23</v>
      </c>
      <c r="F10" s="93"/>
      <c r="G10" s="663" t="s">
        <v>456</v>
      </c>
      <c r="H10" s="93"/>
      <c r="I10" s="328" t="s">
        <v>2</v>
      </c>
    </row>
    <row r="11" spans="1:11">
      <c r="A11" s="326" t="s">
        <v>3</v>
      </c>
      <c r="B11" s="95" t="s">
        <v>457</v>
      </c>
      <c r="C11" s="100" t="s">
        <v>25</v>
      </c>
      <c r="D11" s="557"/>
      <c r="E11" s="557" t="s">
        <v>25</v>
      </c>
      <c r="F11" s="557"/>
      <c r="G11" s="666" t="s">
        <v>458</v>
      </c>
      <c r="H11" s="557" t="s">
        <v>5</v>
      </c>
      <c r="I11" s="328" t="s">
        <v>3</v>
      </c>
    </row>
    <row r="12" spans="1:11">
      <c r="A12" s="326"/>
      <c r="B12" s="508"/>
      <c r="C12" s="667"/>
      <c r="D12" s="668"/>
      <c r="E12" s="668"/>
      <c r="F12" s="668"/>
      <c r="G12" s="668"/>
      <c r="H12" s="103"/>
      <c r="I12" s="328"/>
    </row>
    <row r="13" spans="1:11">
      <c r="A13" s="326">
        <v>1</v>
      </c>
      <c r="B13" s="96" t="s">
        <v>26</v>
      </c>
      <c r="C13" s="897">
        <f>'Pg3 Rev App X C7 Summary'!C10</f>
        <v>73.082047123374281</v>
      </c>
      <c r="D13" s="669"/>
      <c r="E13" s="669">
        <f>'Pg4 As Filed App X C7 FERC Adj '!C11</f>
        <v>73.082047123374281</v>
      </c>
      <c r="F13" s="669"/>
      <c r="G13" s="669">
        <f>C13-E13</f>
        <v>0</v>
      </c>
      <c r="H13" s="480" t="s">
        <v>459</v>
      </c>
      <c r="I13" s="328">
        <f>A13</f>
        <v>1</v>
      </c>
      <c r="K13" s="981"/>
    </row>
    <row r="14" spans="1:11">
      <c r="A14" s="326">
        <f>A13+1</f>
        <v>2</v>
      </c>
      <c r="B14" s="66"/>
      <c r="C14" s="898"/>
      <c r="D14" s="670"/>
      <c r="E14" s="670"/>
      <c r="F14" s="670"/>
      <c r="G14" s="670"/>
      <c r="H14" s="93"/>
      <c r="I14" s="328">
        <f>I13+1</f>
        <v>2</v>
      </c>
    </row>
    <row r="15" spans="1:11">
      <c r="A15" s="326">
        <f t="shared" ref="A15:A32" si="0">A14+1</f>
        <v>3</v>
      </c>
      <c r="B15" s="96" t="s">
        <v>27</v>
      </c>
      <c r="C15" s="899">
        <f>'Pg3 Rev App X C7 Summary'!C12</f>
        <v>1556.5960359496958</v>
      </c>
      <c r="D15" s="671" t="s">
        <v>460</v>
      </c>
      <c r="E15" s="672">
        <f>'Pg4 As Filed App X C7 FERC Adj '!C13</f>
        <v>1555.8119872621462</v>
      </c>
      <c r="F15" s="671"/>
      <c r="G15" s="673">
        <f>C15-E15</f>
        <v>0.78404868754955714</v>
      </c>
      <c r="H15" s="480" t="s">
        <v>461</v>
      </c>
      <c r="I15" s="328">
        <f t="shared" ref="I15:I32" si="1">I14+1</f>
        <v>3</v>
      </c>
      <c r="K15" s="482"/>
    </row>
    <row r="16" spans="1:11">
      <c r="A16" s="326">
        <f t="shared" si="0"/>
        <v>4</v>
      </c>
      <c r="B16" s="66"/>
      <c r="C16" s="898"/>
      <c r="D16" s="670"/>
      <c r="E16" s="670"/>
      <c r="F16" s="670"/>
      <c r="G16" s="670"/>
      <c r="H16" s="674"/>
      <c r="I16" s="328">
        <f t="shared" si="1"/>
        <v>4</v>
      </c>
    </row>
    <row r="17" spans="1:13">
      <c r="A17" s="326">
        <f t="shared" si="0"/>
        <v>5</v>
      </c>
      <c r="B17" s="70" t="s">
        <v>28</v>
      </c>
      <c r="C17" s="900">
        <f>'Pg3 Rev App X C7 Summary'!C14</f>
        <v>537.54219184230226</v>
      </c>
      <c r="D17" s="675"/>
      <c r="E17" s="675">
        <f>'Pg4 As Filed App X C7 FERC Adj '!C15</f>
        <v>537.54219184230226</v>
      </c>
      <c r="F17" s="675"/>
      <c r="G17" s="675">
        <f>C17-E17</f>
        <v>0</v>
      </c>
      <c r="H17" s="480" t="s">
        <v>462</v>
      </c>
      <c r="I17" s="328">
        <f t="shared" si="1"/>
        <v>5</v>
      </c>
      <c r="K17" s="980"/>
    </row>
    <row r="18" spans="1:13">
      <c r="A18" s="326">
        <f t="shared" si="0"/>
        <v>6</v>
      </c>
      <c r="B18" s="96"/>
      <c r="C18" s="898"/>
      <c r="D18" s="670"/>
      <c r="E18" s="670"/>
      <c r="F18" s="670"/>
      <c r="G18" s="670"/>
      <c r="H18" s="676"/>
      <c r="I18" s="328">
        <f t="shared" si="1"/>
        <v>6</v>
      </c>
    </row>
    <row r="19" spans="1:13">
      <c r="A19" s="326">
        <f t="shared" si="0"/>
        <v>7</v>
      </c>
      <c r="B19" s="96" t="s">
        <v>29</v>
      </c>
      <c r="C19" s="898"/>
      <c r="D19" s="670"/>
      <c r="E19" s="670"/>
      <c r="F19" s="670"/>
      <c r="G19" s="670"/>
      <c r="H19" s="676"/>
      <c r="I19" s="328">
        <f t="shared" si="1"/>
        <v>7</v>
      </c>
    </row>
    <row r="20" spans="1:13">
      <c r="A20" s="326">
        <f t="shared" si="0"/>
        <v>8</v>
      </c>
      <c r="B20" s="96"/>
      <c r="C20" s="898"/>
      <c r="D20" s="670"/>
      <c r="E20" s="670"/>
      <c r="F20" s="670"/>
      <c r="G20" s="670"/>
      <c r="H20" s="677"/>
      <c r="I20" s="328">
        <f t="shared" si="1"/>
        <v>8</v>
      </c>
    </row>
    <row r="21" spans="1:13">
      <c r="A21" s="326">
        <f t="shared" si="0"/>
        <v>9</v>
      </c>
      <c r="B21" s="97" t="s">
        <v>402</v>
      </c>
      <c r="C21" s="899">
        <f>'Pg3 Rev App X C7 Summary'!C18</f>
        <v>1348.9571412629327</v>
      </c>
      <c r="D21" s="671" t="s">
        <v>460</v>
      </c>
      <c r="E21" s="672">
        <f>'Pg4 As Filed App X C7 FERC Adj '!C19</f>
        <v>1348.1571162459422</v>
      </c>
      <c r="F21" s="671"/>
      <c r="G21" s="678">
        <f>C21-E21</f>
        <v>0.80002501699050299</v>
      </c>
      <c r="H21" s="101" t="s">
        <v>463</v>
      </c>
      <c r="I21" s="328">
        <f t="shared" si="1"/>
        <v>9</v>
      </c>
      <c r="K21" s="105"/>
    </row>
    <row r="22" spans="1:13">
      <c r="A22" s="326">
        <f t="shared" si="0"/>
        <v>10</v>
      </c>
      <c r="B22" s="97"/>
      <c r="C22" s="679"/>
      <c r="D22" s="121"/>
      <c r="E22" s="121"/>
      <c r="F22" s="121"/>
      <c r="G22" s="121"/>
      <c r="H22" s="101"/>
      <c r="I22" s="328">
        <f t="shared" si="1"/>
        <v>10</v>
      </c>
    </row>
    <row r="23" spans="1:13">
      <c r="A23" s="326">
        <f t="shared" si="0"/>
        <v>11</v>
      </c>
      <c r="B23" s="96" t="s">
        <v>30</v>
      </c>
      <c r="C23" s="901"/>
      <c r="D23" s="680"/>
      <c r="E23" s="680"/>
      <c r="F23" s="680"/>
      <c r="G23" s="680"/>
      <c r="H23" s="101"/>
      <c r="I23" s="328">
        <f t="shared" si="1"/>
        <v>11</v>
      </c>
    </row>
    <row r="24" spans="1:13">
      <c r="A24" s="326">
        <f t="shared" si="0"/>
        <v>12</v>
      </c>
      <c r="B24" s="70"/>
      <c r="C24" s="679"/>
      <c r="D24" s="121"/>
      <c r="E24" s="121"/>
      <c r="F24" s="121"/>
      <c r="G24" s="121"/>
      <c r="H24" s="101"/>
      <c r="I24" s="328">
        <f t="shared" si="1"/>
        <v>12</v>
      </c>
    </row>
    <row r="25" spans="1:13">
      <c r="A25" s="326">
        <f t="shared" si="0"/>
        <v>13</v>
      </c>
      <c r="B25" s="97" t="s">
        <v>474</v>
      </c>
      <c r="C25" s="767">
        <f>'Pg3 Rev App X C7 Summary'!C22</f>
        <v>-38.560040741172912</v>
      </c>
      <c r="D25" s="134"/>
      <c r="E25" s="528">
        <f>'Pg4 As Filed App X C7 FERC Adj '!C23</f>
        <v>-38.560040741172912</v>
      </c>
      <c r="F25" s="134"/>
      <c r="G25" s="889">
        <f>C25-E25</f>
        <v>0</v>
      </c>
      <c r="H25" s="101" t="s">
        <v>464</v>
      </c>
      <c r="I25" s="328">
        <f t="shared" si="1"/>
        <v>13</v>
      </c>
      <c r="K25" s="482"/>
    </row>
    <row r="26" spans="1:13">
      <c r="A26" s="326">
        <f t="shared" si="0"/>
        <v>14</v>
      </c>
      <c r="B26" s="82"/>
      <c r="C26" s="681"/>
      <c r="D26" s="682"/>
      <c r="E26" s="682"/>
      <c r="F26" s="682"/>
      <c r="G26" s="682"/>
      <c r="H26" s="101"/>
      <c r="I26" s="328">
        <f t="shared" si="1"/>
        <v>14</v>
      </c>
      <c r="K26" s="982"/>
    </row>
    <row r="27" spans="1:13" ht="16" thickBot="1">
      <c r="A27" s="326">
        <f t="shared" si="0"/>
        <v>15</v>
      </c>
      <c r="B27" s="66" t="s">
        <v>475</v>
      </c>
      <c r="C27" s="683">
        <f>'Pg3 Rev App X C7 Summary'!C24</f>
        <v>3477.6173754371321</v>
      </c>
      <c r="D27" s="671" t="s">
        <v>460</v>
      </c>
      <c r="E27" s="684">
        <f>'Pg4 As Filed App X C7 FERC Adj '!C25</f>
        <v>3476.033301732592</v>
      </c>
      <c r="F27" s="671"/>
      <c r="G27" s="685">
        <f>C27-E27</f>
        <v>1.5840737045400601</v>
      </c>
      <c r="H27" s="101" t="s">
        <v>741</v>
      </c>
      <c r="I27" s="328">
        <f t="shared" si="1"/>
        <v>15</v>
      </c>
      <c r="L27" s="105"/>
      <c r="M27" s="483"/>
    </row>
    <row r="28" spans="1:13" ht="16" thickTop="1">
      <c r="A28" s="326">
        <f t="shared" si="0"/>
        <v>16</v>
      </c>
      <c r="B28" s="66"/>
      <c r="C28" s="722"/>
      <c r="D28" s="671"/>
      <c r="E28" s="389"/>
      <c r="F28" s="671"/>
      <c r="G28" s="723"/>
      <c r="H28" s="72"/>
      <c r="I28" s="328">
        <f t="shared" si="1"/>
        <v>16</v>
      </c>
      <c r="L28" s="105"/>
      <c r="M28" s="483"/>
    </row>
    <row r="29" spans="1:13">
      <c r="A29" s="326">
        <f t="shared" si="0"/>
        <v>17</v>
      </c>
      <c r="B29" s="98" t="s">
        <v>476</v>
      </c>
      <c r="C29" s="724">
        <f>'Pg3 Rev App X C7 Summary'!C26</f>
        <v>-961.30799999999999</v>
      </c>
      <c r="D29" s="671"/>
      <c r="E29" s="726">
        <f>'Pg4 As Filed App X C7 FERC Adj '!C27</f>
        <v>-961.30799999999999</v>
      </c>
      <c r="F29" s="671"/>
      <c r="G29" s="889">
        <f>C29-E29</f>
        <v>0</v>
      </c>
      <c r="H29" s="101" t="s">
        <v>689</v>
      </c>
      <c r="I29" s="328">
        <f t="shared" si="1"/>
        <v>17</v>
      </c>
      <c r="L29" s="105"/>
      <c r="M29" s="483"/>
    </row>
    <row r="30" spans="1:13">
      <c r="A30" s="326">
        <f t="shared" si="0"/>
        <v>18</v>
      </c>
      <c r="B30" s="66"/>
      <c r="C30" s="722"/>
      <c r="D30" s="671"/>
      <c r="E30" s="389"/>
      <c r="F30" s="671"/>
      <c r="G30" s="723"/>
      <c r="H30" s="72"/>
      <c r="I30" s="328">
        <f t="shared" si="1"/>
        <v>18</v>
      </c>
      <c r="L30" s="105"/>
      <c r="M30" s="483"/>
    </row>
    <row r="31" spans="1:13" ht="16" thickBot="1">
      <c r="A31" s="326">
        <f t="shared" si="0"/>
        <v>19</v>
      </c>
      <c r="B31" s="66" t="s">
        <v>403</v>
      </c>
      <c r="C31" s="683">
        <f>'Pg3 Rev App X C7 Summary'!C28</f>
        <v>2517.3093754371321</v>
      </c>
      <c r="D31" s="671" t="s">
        <v>460</v>
      </c>
      <c r="E31" s="685">
        <f>'Pg4 As Filed App X C7 FERC Adj '!C29</f>
        <v>2514.725301732592</v>
      </c>
      <c r="F31" s="671"/>
      <c r="G31" s="685">
        <f>C31-E31-1</f>
        <v>1.5840737045400601</v>
      </c>
      <c r="H31" s="101" t="s">
        <v>742</v>
      </c>
      <c r="I31" s="328">
        <f t="shared" si="1"/>
        <v>19</v>
      </c>
      <c r="L31" s="105"/>
      <c r="M31" s="483"/>
    </row>
    <row r="32" spans="1:13" ht="16.5" thickTop="1" thickBot="1">
      <c r="A32" s="326">
        <f t="shared" si="0"/>
        <v>20</v>
      </c>
      <c r="B32" s="510"/>
      <c r="C32" s="102"/>
      <c r="D32" s="686"/>
      <c r="E32" s="686"/>
      <c r="F32" s="686"/>
      <c r="G32" s="686"/>
      <c r="H32" s="686"/>
      <c r="I32" s="328">
        <f t="shared" si="1"/>
        <v>20</v>
      </c>
    </row>
    <row r="34" spans="1:9" ht="16" thickBot="1">
      <c r="A34" s="658"/>
      <c r="B34" s="207"/>
      <c r="C34" s="687"/>
      <c r="D34" s="687"/>
      <c r="E34" s="687"/>
      <c r="F34" s="687"/>
      <c r="G34" s="687"/>
      <c r="H34" s="69"/>
      <c r="I34" s="658"/>
    </row>
    <row r="35" spans="1:9" ht="46.5" customHeight="1">
      <c r="A35" s="327"/>
      <c r="B35" s="688"/>
      <c r="C35" s="991" t="str">
        <f>C9</f>
        <v>Revised - Appendix X Cycle 7</v>
      </c>
      <c r="D35" s="93"/>
      <c r="E35" s="961" t="str">
        <f>E9</f>
        <v>As Filed - Appendix X Cycle 7 ER18-1690 and ER24-176</v>
      </c>
      <c r="F35" s="662"/>
      <c r="G35" s="663" t="s">
        <v>455</v>
      </c>
      <c r="H35" s="689"/>
      <c r="I35" s="329"/>
    </row>
    <row r="36" spans="1:9">
      <c r="A36" s="326" t="s">
        <v>2</v>
      </c>
      <c r="B36" s="67"/>
      <c r="C36" s="665" t="s">
        <v>23</v>
      </c>
      <c r="D36" s="93"/>
      <c r="E36" s="93" t="s">
        <v>23</v>
      </c>
      <c r="F36" s="93"/>
      <c r="G36" s="663" t="s">
        <v>456</v>
      </c>
      <c r="H36" s="93"/>
      <c r="I36" s="328" t="s">
        <v>2</v>
      </c>
    </row>
    <row r="37" spans="1:9">
      <c r="A37" s="326" t="s">
        <v>3</v>
      </c>
      <c r="B37" s="95" t="s">
        <v>465</v>
      </c>
      <c r="C37" s="100" t="s">
        <v>25</v>
      </c>
      <c r="D37" s="557"/>
      <c r="E37" s="557" t="s">
        <v>25</v>
      </c>
      <c r="F37" s="557"/>
      <c r="G37" s="666" t="s">
        <v>458</v>
      </c>
      <c r="H37" s="557" t="s">
        <v>5</v>
      </c>
      <c r="I37" s="328" t="s">
        <v>3</v>
      </c>
    </row>
    <row r="38" spans="1:9">
      <c r="A38" s="326">
        <f>A32+1</f>
        <v>21</v>
      </c>
      <c r="B38" s="66"/>
      <c r="C38" s="667"/>
      <c r="D38" s="668"/>
      <c r="E38" s="668"/>
      <c r="F38" s="668"/>
      <c r="G38" s="668"/>
      <c r="H38" s="103"/>
      <c r="I38" s="328">
        <f>I32+1</f>
        <v>21</v>
      </c>
    </row>
    <row r="39" spans="1:9">
      <c r="A39" s="326">
        <f>A38+1</f>
        <v>22</v>
      </c>
      <c r="B39" s="96" t="str">
        <f>B13</f>
        <v>Section 1 - Direct Maintenance Expense Cost Component</v>
      </c>
      <c r="C39" s="690">
        <f>'Pg3 Rev App X C7 Summary'!C36</f>
        <v>6.0901705936145234</v>
      </c>
      <c r="D39" s="691"/>
      <c r="E39" s="691">
        <f>'Pg4 As Filed App X C7 FERC Adj '!C37</f>
        <v>6.0901705936145234</v>
      </c>
      <c r="F39" s="691"/>
      <c r="G39" s="691">
        <f>C39-E39</f>
        <v>0</v>
      </c>
      <c r="H39" s="2" t="s">
        <v>466</v>
      </c>
      <c r="I39" s="328">
        <f>I38+1</f>
        <v>22</v>
      </c>
    </row>
    <row r="40" spans="1:9">
      <c r="A40" s="326">
        <f t="shared" ref="A40:A60" si="2">A39+1</f>
        <v>23</v>
      </c>
      <c r="B40" s="66"/>
      <c r="C40" s="692"/>
      <c r="D40" s="693"/>
      <c r="E40" s="693"/>
      <c r="F40" s="693"/>
      <c r="G40" s="693"/>
      <c r="H40" s="86"/>
      <c r="I40" s="328">
        <f t="shared" ref="I40:I60" si="3">I39+1</f>
        <v>23</v>
      </c>
    </row>
    <row r="41" spans="1:9">
      <c r="A41" s="326">
        <f t="shared" si="2"/>
        <v>24</v>
      </c>
      <c r="B41" s="96" t="str">
        <f>B15</f>
        <v>Section 2 - Non-Direct Expense Cost Component</v>
      </c>
      <c r="C41" s="694">
        <f>'Pg3 Rev App X C7 Summary'!C38</f>
        <v>129.71633632914131</v>
      </c>
      <c r="D41" s="671" t="s">
        <v>460</v>
      </c>
      <c r="E41" s="695">
        <f>'Pg4 As Filed App X C7 FERC Adj '!C39</f>
        <v>129.65099893851217</v>
      </c>
      <c r="F41" s="671"/>
      <c r="G41" s="696">
        <f>C41-E41</f>
        <v>6.5337390629139236E-2</v>
      </c>
      <c r="H41" s="2" t="s">
        <v>477</v>
      </c>
      <c r="I41" s="328">
        <f t="shared" si="3"/>
        <v>24</v>
      </c>
    </row>
    <row r="42" spans="1:9">
      <c r="A42" s="326">
        <f t="shared" si="2"/>
        <v>25</v>
      </c>
      <c r="B42" s="66"/>
      <c r="C42" s="692"/>
      <c r="D42" s="693"/>
      <c r="E42" s="693"/>
      <c r="F42" s="693"/>
      <c r="G42" s="693"/>
      <c r="H42" s="697"/>
      <c r="I42" s="328">
        <f t="shared" si="3"/>
        <v>25</v>
      </c>
    </row>
    <row r="43" spans="1:9">
      <c r="A43" s="326">
        <f t="shared" si="2"/>
        <v>26</v>
      </c>
      <c r="B43" s="96" t="str">
        <f>B17</f>
        <v>Section 3 - Cost Component Containing Other Specific Expenses</v>
      </c>
      <c r="C43" s="962">
        <f>'Pg3 Rev App X C7 Summary'!C40</f>
        <v>44.795182653525188</v>
      </c>
      <c r="D43" s="671"/>
      <c r="E43" s="698">
        <f>'Pg4 As Filed App X C7 FERC Adj '!C41</f>
        <v>44.795182653525188</v>
      </c>
      <c r="F43" s="698"/>
      <c r="G43" s="913">
        <f>C43-E43</f>
        <v>0</v>
      </c>
      <c r="H43" s="2" t="s">
        <v>467</v>
      </c>
      <c r="I43" s="328">
        <f t="shared" si="3"/>
        <v>26</v>
      </c>
    </row>
    <row r="44" spans="1:9">
      <c r="A44" s="326">
        <f t="shared" si="2"/>
        <v>27</v>
      </c>
      <c r="B44" s="66"/>
      <c r="C44" s="692"/>
      <c r="D44" s="693"/>
      <c r="E44" s="693"/>
      <c r="F44" s="693"/>
      <c r="G44" s="693"/>
      <c r="H44" s="674"/>
      <c r="I44" s="328">
        <f t="shared" si="3"/>
        <v>27</v>
      </c>
    </row>
    <row r="45" spans="1:9">
      <c r="A45" s="326">
        <f t="shared" si="2"/>
        <v>28</v>
      </c>
      <c r="B45" s="96" t="str">
        <f>LEFT(B19,45)</f>
        <v>Section 4 - True-Up Adjustment Cost Component</v>
      </c>
      <c r="C45" s="692"/>
      <c r="D45" s="693"/>
      <c r="E45" s="693"/>
      <c r="F45" s="693"/>
      <c r="G45" s="693"/>
      <c r="H45" s="699"/>
      <c r="I45" s="328">
        <f t="shared" si="3"/>
        <v>28</v>
      </c>
    </row>
    <row r="46" spans="1:9">
      <c r="A46" s="326">
        <f t="shared" si="2"/>
        <v>29</v>
      </c>
      <c r="B46" s="96"/>
      <c r="C46" s="692"/>
      <c r="D46" s="693"/>
      <c r="E46" s="693"/>
      <c r="F46" s="693"/>
      <c r="G46" s="693"/>
      <c r="H46" s="699"/>
      <c r="I46" s="328">
        <f t="shared" si="3"/>
        <v>29</v>
      </c>
    </row>
    <row r="47" spans="1:9">
      <c r="A47" s="326">
        <f t="shared" si="2"/>
        <v>30</v>
      </c>
      <c r="B47" s="97" t="str">
        <f>B21</f>
        <v xml:space="preserve">   True-Up Adjustment derived in Cycle 7</v>
      </c>
      <c r="C47" s="694">
        <f>'Pg3 Rev App X C7 Summary'!C44</f>
        <v>112.41309510524439</v>
      </c>
      <c r="D47" s="671" t="s">
        <v>460</v>
      </c>
      <c r="E47" s="695">
        <f>'Pg4 As Filed App X C7 FERC Adj '!C45</f>
        <v>112.34642635382852</v>
      </c>
      <c r="F47" s="671"/>
      <c r="G47" s="696">
        <f>C47-E47</f>
        <v>6.6668751415875249E-2</v>
      </c>
      <c r="H47" s="2" t="s">
        <v>468</v>
      </c>
      <c r="I47" s="328">
        <f t="shared" si="3"/>
        <v>30</v>
      </c>
    </row>
    <row r="48" spans="1:9">
      <c r="A48" s="326">
        <f t="shared" si="2"/>
        <v>31</v>
      </c>
      <c r="B48" s="97"/>
      <c r="C48" s="700"/>
      <c r="D48" s="701"/>
      <c r="E48" s="701"/>
      <c r="F48" s="701"/>
      <c r="G48" s="701"/>
      <c r="H48" s="101"/>
      <c r="I48" s="328">
        <f t="shared" si="3"/>
        <v>31</v>
      </c>
    </row>
    <row r="49" spans="1:10">
      <c r="A49" s="326">
        <f t="shared" si="2"/>
        <v>32</v>
      </c>
      <c r="B49" s="96" t="str">
        <f>B23</f>
        <v>Section 5 - Interest True-Up Adjustment Cost Component</v>
      </c>
      <c r="C49" s="700"/>
      <c r="D49" s="701"/>
      <c r="E49" s="701"/>
      <c r="F49" s="701"/>
      <c r="G49" s="701"/>
      <c r="H49" s="621"/>
      <c r="I49" s="328">
        <f t="shared" si="3"/>
        <v>32</v>
      </c>
    </row>
    <row r="50" spans="1:10">
      <c r="A50" s="326">
        <f t="shared" si="2"/>
        <v>33</v>
      </c>
      <c r="B50" s="96"/>
      <c r="C50" s="700"/>
      <c r="D50" s="701"/>
      <c r="E50" s="701"/>
      <c r="F50" s="701"/>
      <c r="G50" s="701"/>
      <c r="H50" s="621"/>
      <c r="I50" s="328">
        <f t="shared" si="3"/>
        <v>33</v>
      </c>
    </row>
    <row r="51" spans="1:10">
      <c r="A51" s="326">
        <f t="shared" si="2"/>
        <v>34</v>
      </c>
      <c r="B51" s="8" t="str">
        <f>B25</f>
        <v xml:space="preserve">   Cycle 6 Interest True-Up Adjustment</v>
      </c>
      <c r="C51" s="725">
        <f>'Pg3 Rev App X C7 Summary'!C48</f>
        <v>-3.2133367284310759</v>
      </c>
      <c r="D51" s="620"/>
      <c r="E51" s="620">
        <f>'Pg4 As Filed App X C7 FERC Adj '!C49</f>
        <v>-3.2133367284310759</v>
      </c>
      <c r="F51" s="620"/>
      <c r="G51" s="698">
        <f>C51-E51</f>
        <v>0</v>
      </c>
      <c r="H51" s="2" t="s">
        <v>471</v>
      </c>
      <c r="I51" s="328">
        <f t="shared" si="3"/>
        <v>34</v>
      </c>
    </row>
    <row r="52" spans="1:10">
      <c r="A52" s="326">
        <f t="shared" si="2"/>
        <v>35</v>
      </c>
      <c r="B52" s="8"/>
      <c r="C52" s="725"/>
      <c r="D52" s="620"/>
      <c r="E52" s="620"/>
      <c r="F52" s="620"/>
      <c r="G52" s="698"/>
      <c r="H52" s="2"/>
      <c r="I52" s="328">
        <f t="shared" si="3"/>
        <v>35</v>
      </c>
    </row>
    <row r="53" spans="1:10">
      <c r="A53" s="326">
        <f t="shared" si="2"/>
        <v>36</v>
      </c>
      <c r="B53" s="8" t="s">
        <v>20</v>
      </c>
      <c r="C53" s="702">
        <f>'Pg3 Rev App X C7 Summary'!C50</f>
        <v>-80.108999999999995</v>
      </c>
      <c r="D53" s="620"/>
      <c r="E53" s="703">
        <f>'Pg4 As Filed App X C7 FERC Adj '!C51</f>
        <v>-80.108999999999995</v>
      </c>
      <c r="F53" s="620"/>
      <c r="G53" s="704">
        <f>C53-E53</f>
        <v>0</v>
      </c>
      <c r="H53" s="2" t="s">
        <v>472</v>
      </c>
      <c r="I53" s="328">
        <f t="shared" si="3"/>
        <v>36</v>
      </c>
    </row>
    <row r="54" spans="1:10">
      <c r="A54" s="326">
        <f t="shared" si="2"/>
        <v>37</v>
      </c>
      <c r="B54" s="66"/>
      <c r="C54" s="705"/>
      <c r="D54" s="706"/>
      <c r="E54" s="706"/>
      <c r="F54" s="706"/>
      <c r="G54" s="706"/>
      <c r="H54" s="93"/>
      <c r="I54" s="328">
        <f t="shared" si="3"/>
        <v>37</v>
      </c>
    </row>
    <row r="55" spans="1:10" ht="16" thickBot="1">
      <c r="A55" s="326">
        <f t="shared" si="2"/>
        <v>38</v>
      </c>
      <c r="B55" s="66" t="s">
        <v>469</v>
      </c>
      <c r="C55" s="708">
        <f>'Pg3 Rev App X C7 Summary'!C52</f>
        <v>209.77578128642767</v>
      </c>
      <c r="D55" s="671" t="s">
        <v>460</v>
      </c>
      <c r="E55" s="707">
        <f>'Pg4 As Filed App X C7 FERC Adj '!C53</f>
        <v>209.56044181104932</v>
      </c>
      <c r="F55" s="671"/>
      <c r="G55" s="708">
        <f>C55-E55</f>
        <v>0.21533947537835729</v>
      </c>
      <c r="H55" s="2" t="s">
        <v>740</v>
      </c>
      <c r="I55" s="328">
        <f t="shared" si="3"/>
        <v>38</v>
      </c>
      <c r="J55" s="709"/>
    </row>
    <row r="56" spans="1:10" ht="16" thickTop="1">
      <c r="A56" s="326">
        <f t="shared" si="2"/>
        <v>39</v>
      </c>
      <c r="B56" s="66"/>
      <c r="C56" s="710"/>
      <c r="D56" s="711"/>
      <c r="E56" s="711"/>
      <c r="F56" s="711"/>
      <c r="G56" s="711"/>
      <c r="H56" s="712"/>
      <c r="I56" s="328">
        <f t="shared" si="3"/>
        <v>39</v>
      </c>
    </row>
    <row r="57" spans="1:10">
      <c r="A57" s="326">
        <f t="shared" si="2"/>
        <v>40</v>
      </c>
      <c r="B57" s="98" t="s">
        <v>470</v>
      </c>
      <c r="C57" s="902">
        <f>'Pg3 Rev App X C7 Summary'!C54</f>
        <v>12</v>
      </c>
      <c r="D57" s="713"/>
      <c r="E57" s="714">
        <f>'Pg4 As Filed App X C7 FERC Adj '!C55</f>
        <v>12</v>
      </c>
      <c r="F57" s="713"/>
      <c r="G57" s="714">
        <f>C57-E57</f>
        <v>0</v>
      </c>
      <c r="H57" s="2" t="s">
        <v>478</v>
      </c>
      <c r="I57" s="328">
        <f t="shared" si="3"/>
        <v>40</v>
      </c>
    </row>
    <row r="58" spans="1:10">
      <c r="A58" s="326">
        <f t="shared" si="2"/>
        <v>41</v>
      </c>
      <c r="B58" s="66"/>
      <c r="C58" s="710"/>
      <c r="D58" s="711"/>
      <c r="E58" s="711"/>
      <c r="F58" s="711"/>
      <c r="G58" s="711"/>
      <c r="H58" s="715"/>
      <c r="I58" s="328">
        <f t="shared" si="3"/>
        <v>41</v>
      </c>
    </row>
    <row r="59" spans="1:10" ht="16" thickBot="1">
      <c r="A59" s="326">
        <f t="shared" si="2"/>
        <v>42</v>
      </c>
      <c r="B59" s="98" t="str">
        <f>B27</f>
        <v>Total Citizens' Cycle 7 Annual Costs</v>
      </c>
      <c r="C59" s="716">
        <f>'Pg3 Rev App X C7 Summary'!C56</f>
        <v>2517.3093754371321</v>
      </c>
      <c r="D59" s="671" t="s">
        <v>460</v>
      </c>
      <c r="E59" s="717">
        <f>'Pg4 As Filed App X C7 FERC Adj '!C57</f>
        <v>2514.725301732592</v>
      </c>
      <c r="F59" s="671"/>
      <c r="G59" s="718">
        <f>C59-E59-1</f>
        <v>1.5840737045400601</v>
      </c>
      <c r="H59" s="2" t="s">
        <v>479</v>
      </c>
      <c r="I59" s="328">
        <f t="shared" si="3"/>
        <v>42</v>
      </c>
    </row>
    <row r="60" spans="1:10" ht="16.5" thickTop="1" thickBot="1">
      <c r="A60" s="326">
        <f t="shared" si="2"/>
        <v>43</v>
      </c>
      <c r="B60" s="686"/>
      <c r="C60" s="719"/>
      <c r="D60" s="720"/>
      <c r="E60" s="720"/>
      <c r="F60" s="720"/>
      <c r="G60" s="720"/>
      <c r="H60" s="721"/>
      <c r="I60" s="328">
        <f t="shared" si="3"/>
        <v>43</v>
      </c>
    </row>
    <row r="63" spans="1:10">
      <c r="A63" s="671" t="s">
        <v>460</v>
      </c>
      <c r="B63" s="111" t="s">
        <v>801</v>
      </c>
      <c r="C63" s="5"/>
    </row>
    <row r="64" spans="1:10">
      <c r="B64" s="94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2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A4EC-0ABF-48B0-BF2B-99A6952A9B0A}">
  <sheetPr>
    <pageSetUpPr fitToPage="1"/>
  </sheetPr>
  <dimension ref="A1:J60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69.1796875" style="7" customWidth="1"/>
    <col min="3" max="3" width="14.81640625" style="7" customWidth="1"/>
    <col min="4" max="4" width="2" style="7" bestFit="1" customWidth="1"/>
    <col min="5" max="5" width="54.1796875" style="7" bestFit="1" customWidth="1"/>
    <col min="6" max="6" width="5.1796875" style="106" customWidth="1"/>
    <col min="7" max="16384" width="8.81640625" style="7"/>
  </cols>
  <sheetData>
    <row r="1" spans="1:8">
      <c r="A1" s="325"/>
      <c r="B1" s="93"/>
      <c r="C1" s="93"/>
      <c r="D1" s="93"/>
      <c r="E1" s="93"/>
      <c r="F1" s="325"/>
    </row>
    <row r="2" spans="1:8">
      <c r="B2" s="1013" t="s">
        <v>21</v>
      </c>
      <c r="C2" s="1013"/>
      <c r="D2" s="1013"/>
      <c r="E2" s="1013"/>
      <c r="F2" s="110"/>
    </row>
    <row r="3" spans="1:8">
      <c r="B3" s="1013" t="s">
        <v>22</v>
      </c>
      <c r="C3" s="1013"/>
      <c r="D3" s="1013"/>
      <c r="E3" s="1013"/>
      <c r="F3" s="110"/>
    </row>
    <row r="4" spans="1:8">
      <c r="A4" s="325"/>
      <c r="B4" s="1015" t="s">
        <v>401</v>
      </c>
      <c r="C4" s="1015"/>
      <c r="D4" s="1015"/>
      <c r="E4" s="1015"/>
      <c r="F4" s="325"/>
    </row>
    <row r="5" spans="1:8">
      <c r="B5" s="1014" t="s">
        <v>1</v>
      </c>
      <c r="C5" s="1013"/>
      <c r="D5" s="1013"/>
      <c r="E5" s="1013"/>
      <c r="F5" s="110"/>
    </row>
    <row r="6" spans="1:8" ht="16" thickBot="1">
      <c r="A6" s="325"/>
      <c r="B6" s="93"/>
      <c r="C6" s="82"/>
      <c r="D6" s="82"/>
      <c r="E6" s="82"/>
      <c r="F6" s="325"/>
    </row>
    <row r="7" spans="1:8">
      <c r="A7" s="326" t="s">
        <v>2</v>
      </c>
      <c r="B7" s="661"/>
      <c r="C7" s="731" t="s">
        <v>23</v>
      </c>
      <c r="D7" s="689"/>
      <c r="E7" s="732"/>
      <c r="F7" s="112" t="s">
        <v>2</v>
      </c>
    </row>
    <row r="8" spans="1:8">
      <c r="A8" s="326" t="s">
        <v>3</v>
      </c>
      <c r="B8" s="733" t="s">
        <v>24</v>
      </c>
      <c r="C8" s="95" t="s">
        <v>25</v>
      </c>
      <c r="D8" s="557"/>
      <c r="E8" s="301" t="s">
        <v>5</v>
      </c>
      <c r="F8" s="112" t="s">
        <v>3</v>
      </c>
    </row>
    <row r="9" spans="1:8">
      <c r="A9" s="326"/>
      <c r="B9" s="734"/>
      <c r="C9" s="68"/>
      <c r="D9" s="668"/>
      <c r="E9" s="302"/>
      <c r="F9" s="112"/>
    </row>
    <row r="10" spans="1:8">
      <c r="A10" s="326">
        <v>1</v>
      </c>
      <c r="B10" s="735" t="s">
        <v>26</v>
      </c>
      <c r="C10" s="891">
        <v>73.082047123374281</v>
      </c>
      <c r="D10" s="669"/>
      <c r="E10" s="736" t="s">
        <v>701</v>
      </c>
      <c r="F10" s="112">
        <f>A10</f>
        <v>1</v>
      </c>
      <c r="H10" s="105"/>
    </row>
    <row r="11" spans="1:8">
      <c r="A11" s="326">
        <f>A10+1</f>
        <v>2</v>
      </c>
      <c r="B11" s="737"/>
      <c r="C11" s="892"/>
      <c r="D11" s="670"/>
      <c r="E11" s="99"/>
      <c r="F11" s="112">
        <f>F10+1</f>
        <v>2</v>
      </c>
    </row>
    <row r="12" spans="1:8">
      <c r="A12" s="326">
        <f t="shared" ref="A12:A29" si="0">A11+1</f>
        <v>3</v>
      </c>
      <c r="B12" s="735" t="s">
        <v>27</v>
      </c>
      <c r="C12" s="903">
        <f>'Pg5 Rev Sec 2 Non-Direct Exp'!E41</f>
        <v>1556.5960359496958</v>
      </c>
      <c r="D12" s="671" t="s">
        <v>460</v>
      </c>
      <c r="E12" s="736" t="s">
        <v>768</v>
      </c>
      <c r="F12" s="112">
        <f t="shared" ref="F12:F29" si="1">F11+1</f>
        <v>3</v>
      </c>
      <c r="H12" s="482"/>
    </row>
    <row r="13" spans="1:8">
      <c r="A13" s="326">
        <f t="shared" si="0"/>
        <v>4</v>
      </c>
      <c r="B13" s="737"/>
      <c r="C13" s="892"/>
      <c r="D13" s="670"/>
      <c r="E13" s="738"/>
      <c r="F13" s="112">
        <f t="shared" si="1"/>
        <v>4</v>
      </c>
    </row>
    <row r="14" spans="1:8">
      <c r="A14" s="326">
        <f t="shared" si="0"/>
        <v>5</v>
      </c>
      <c r="B14" s="739" t="s">
        <v>28</v>
      </c>
      <c r="C14" s="893">
        <v>537.54219184230226</v>
      </c>
      <c r="D14" s="675"/>
      <c r="E14" s="736" t="s">
        <v>703</v>
      </c>
      <c r="F14" s="112">
        <f t="shared" si="1"/>
        <v>5</v>
      </c>
      <c r="H14" s="482"/>
    </row>
    <row r="15" spans="1:8">
      <c r="A15" s="326">
        <f t="shared" si="0"/>
        <v>6</v>
      </c>
      <c r="B15" s="735"/>
      <c r="C15" s="892"/>
      <c r="D15" s="670"/>
      <c r="E15" s="740"/>
      <c r="F15" s="112">
        <f t="shared" si="1"/>
        <v>6</v>
      </c>
    </row>
    <row r="16" spans="1:8">
      <c r="A16" s="326">
        <f t="shared" si="0"/>
        <v>7</v>
      </c>
      <c r="B16" s="735" t="s">
        <v>29</v>
      </c>
      <c r="C16" s="892"/>
      <c r="D16" s="670"/>
      <c r="E16" s="740"/>
      <c r="F16" s="112">
        <f t="shared" si="1"/>
        <v>7</v>
      </c>
    </row>
    <row r="17" spans="1:10">
      <c r="A17" s="326">
        <f t="shared" si="0"/>
        <v>8</v>
      </c>
      <c r="B17" s="735"/>
      <c r="C17" s="892"/>
      <c r="D17" s="670"/>
      <c r="E17" s="741"/>
      <c r="F17" s="112">
        <f t="shared" si="1"/>
        <v>8</v>
      </c>
    </row>
    <row r="18" spans="1:10">
      <c r="A18" s="326">
        <f t="shared" si="0"/>
        <v>9</v>
      </c>
      <c r="B18" s="742" t="s">
        <v>402</v>
      </c>
      <c r="C18" s="904">
        <f>'Pg7 Rev Sec 4a-TU'!O40</f>
        <v>1348.9571412629327</v>
      </c>
      <c r="D18" s="671" t="s">
        <v>460</v>
      </c>
      <c r="E18" s="743" t="s">
        <v>770</v>
      </c>
      <c r="F18" s="112">
        <f t="shared" si="1"/>
        <v>9</v>
      </c>
      <c r="H18" s="105"/>
    </row>
    <row r="19" spans="1:10">
      <c r="A19" s="326">
        <f t="shared" si="0"/>
        <v>10</v>
      </c>
      <c r="B19" s="742"/>
      <c r="C19" s="894"/>
      <c r="D19" s="121"/>
      <c r="E19" s="743"/>
      <c r="F19" s="112">
        <f t="shared" si="1"/>
        <v>10</v>
      </c>
    </row>
    <row r="20" spans="1:10">
      <c r="A20" s="326">
        <f t="shared" si="0"/>
        <v>11</v>
      </c>
      <c r="B20" s="735" t="s">
        <v>30</v>
      </c>
      <c r="C20" s="895"/>
      <c r="D20" s="680"/>
      <c r="E20" s="743"/>
      <c r="F20" s="112">
        <f t="shared" si="1"/>
        <v>11</v>
      </c>
    </row>
    <row r="21" spans="1:10">
      <c r="A21" s="326">
        <f t="shared" si="0"/>
        <v>12</v>
      </c>
      <c r="B21" s="739"/>
      <c r="C21" s="896"/>
      <c r="D21" s="679"/>
      <c r="E21" s="743"/>
      <c r="F21" s="112">
        <f t="shared" si="1"/>
        <v>12</v>
      </c>
    </row>
    <row r="22" spans="1:10">
      <c r="A22" s="326">
        <f t="shared" si="0"/>
        <v>13</v>
      </c>
      <c r="B22" s="742" t="s">
        <v>474</v>
      </c>
      <c r="C22" s="355">
        <v>-38.560040741172912</v>
      </c>
      <c r="D22" s="134"/>
      <c r="E22" s="743" t="s">
        <v>404</v>
      </c>
      <c r="F22" s="112">
        <f t="shared" si="1"/>
        <v>13</v>
      </c>
      <c r="H22" s="482"/>
    </row>
    <row r="23" spans="1:10">
      <c r="A23" s="326">
        <f t="shared" si="0"/>
        <v>14</v>
      </c>
      <c r="B23" s="744"/>
      <c r="C23" s="509"/>
      <c r="D23" s="681"/>
      <c r="E23" s="743"/>
      <c r="F23" s="112">
        <f t="shared" si="1"/>
        <v>14</v>
      </c>
    </row>
    <row r="24" spans="1:10" ht="16" thickBot="1">
      <c r="A24" s="326">
        <f t="shared" si="0"/>
        <v>15</v>
      </c>
      <c r="B24" s="737" t="s">
        <v>671</v>
      </c>
      <c r="C24" s="617">
        <f>C10+C12+C14+C18+C22</f>
        <v>3477.6173754371321</v>
      </c>
      <c r="D24" s="671" t="s">
        <v>460</v>
      </c>
      <c r="E24" s="745" t="s">
        <v>405</v>
      </c>
      <c r="F24" s="112">
        <f t="shared" si="1"/>
        <v>15</v>
      </c>
      <c r="I24" s="105"/>
      <c r="J24" s="483"/>
    </row>
    <row r="25" spans="1:10" ht="16" thickTop="1">
      <c r="A25" s="326">
        <f t="shared" si="0"/>
        <v>16</v>
      </c>
      <c r="B25" s="737"/>
      <c r="C25" s="618"/>
      <c r="D25" s="727"/>
      <c r="E25" s="745"/>
      <c r="F25" s="112">
        <f t="shared" si="1"/>
        <v>16</v>
      </c>
      <c r="I25" s="105"/>
      <c r="J25" s="483"/>
    </row>
    <row r="26" spans="1:10">
      <c r="A26" s="326">
        <f t="shared" si="0"/>
        <v>17</v>
      </c>
      <c r="B26" s="746" t="s">
        <v>20</v>
      </c>
      <c r="C26" s="619">
        <v>-961.30799999999999</v>
      </c>
      <c r="D26" s="675"/>
      <c r="E26" s="745" t="s">
        <v>406</v>
      </c>
      <c r="F26" s="112">
        <f t="shared" si="1"/>
        <v>17</v>
      </c>
      <c r="I26" s="105"/>
      <c r="J26" s="483"/>
    </row>
    <row r="27" spans="1:10">
      <c r="A27" s="326">
        <f t="shared" si="0"/>
        <v>18</v>
      </c>
      <c r="B27" s="737"/>
      <c r="C27" s="618"/>
      <c r="D27" s="727"/>
      <c r="E27" s="745"/>
      <c r="F27" s="112">
        <f t="shared" si="1"/>
        <v>18</v>
      </c>
      <c r="I27" s="105"/>
      <c r="J27" s="483"/>
    </row>
    <row r="28" spans="1:10" ht="16" thickBot="1">
      <c r="A28" s="326">
        <f t="shared" si="0"/>
        <v>19</v>
      </c>
      <c r="B28" s="737" t="s">
        <v>403</v>
      </c>
      <c r="C28" s="617">
        <f>C24+C26+1</f>
        <v>2517.3093754371321</v>
      </c>
      <c r="D28" s="671" t="s">
        <v>460</v>
      </c>
      <c r="E28" s="745" t="s">
        <v>407</v>
      </c>
      <c r="F28" s="112">
        <f t="shared" si="1"/>
        <v>19</v>
      </c>
      <c r="I28" s="105"/>
      <c r="J28" s="483"/>
    </row>
    <row r="29" spans="1:10" ht="16.5" thickTop="1" thickBot="1">
      <c r="A29" s="326">
        <f t="shared" si="0"/>
        <v>20</v>
      </c>
      <c r="B29" s="747"/>
      <c r="C29" s="510"/>
      <c r="D29" s="686"/>
      <c r="E29" s="748"/>
      <c r="F29" s="112">
        <f t="shared" si="1"/>
        <v>20</v>
      </c>
    </row>
    <row r="31" spans="1:10" ht="16" thickBot="1">
      <c r="A31" s="325"/>
      <c r="B31" s="56"/>
      <c r="C31" s="69"/>
      <c r="D31" s="69"/>
      <c r="E31" s="69"/>
      <c r="F31" s="325"/>
    </row>
    <row r="32" spans="1:10">
      <c r="A32" s="327"/>
      <c r="B32" s="749"/>
      <c r="C32" s="731"/>
      <c r="D32" s="689"/>
      <c r="E32" s="732"/>
      <c r="F32" s="110"/>
    </row>
    <row r="33" spans="1:6">
      <c r="A33" s="326" t="s">
        <v>2</v>
      </c>
      <c r="B33" s="750"/>
      <c r="C33" s="67" t="s">
        <v>23</v>
      </c>
      <c r="D33" s="93"/>
      <c r="E33" s="99"/>
      <c r="F33" s="112" t="s">
        <v>2</v>
      </c>
    </row>
    <row r="34" spans="1:6">
      <c r="A34" s="326" t="s">
        <v>3</v>
      </c>
      <c r="B34" s="733" t="s">
        <v>31</v>
      </c>
      <c r="C34" s="95" t="s">
        <v>25</v>
      </c>
      <c r="D34" s="557"/>
      <c r="E34" s="301" t="s">
        <v>5</v>
      </c>
      <c r="F34" s="112" t="s">
        <v>3</v>
      </c>
    </row>
    <row r="35" spans="1:6">
      <c r="A35" s="326">
        <f>A29+1</f>
        <v>21</v>
      </c>
      <c r="B35" s="737"/>
      <c r="C35" s="68"/>
      <c r="D35" s="668"/>
      <c r="E35" s="302"/>
      <c r="F35" s="112">
        <f>F29+1</f>
        <v>21</v>
      </c>
    </row>
    <row r="36" spans="1:6">
      <c r="A36" s="326">
        <f>A35+1</f>
        <v>22</v>
      </c>
      <c r="B36" s="735" t="str">
        <f>B10</f>
        <v>Section 1 - Direct Maintenance Expense Cost Component</v>
      </c>
      <c r="C36" s="16">
        <f>C10/12</f>
        <v>6.0901705936145234</v>
      </c>
      <c r="D36" s="691"/>
      <c r="E36" s="736" t="s">
        <v>408</v>
      </c>
      <c r="F36" s="112">
        <f>F35+1</f>
        <v>22</v>
      </c>
    </row>
    <row r="37" spans="1:6">
      <c r="A37" s="326">
        <f t="shared" ref="A37:A57" si="2">A36+1</f>
        <v>23</v>
      </c>
      <c r="B37" s="737"/>
      <c r="C37" s="15"/>
      <c r="D37" s="693"/>
      <c r="E37" s="751"/>
      <c r="F37" s="112">
        <f t="shared" ref="F37:F57" si="3">F36+1</f>
        <v>23</v>
      </c>
    </row>
    <row r="38" spans="1:6">
      <c r="A38" s="326">
        <f t="shared" si="2"/>
        <v>24</v>
      </c>
      <c r="B38" s="735" t="str">
        <f>B12</f>
        <v>Section 2 - Non-Direct Expense Cost Component</v>
      </c>
      <c r="C38" s="887">
        <f>C12/12</f>
        <v>129.71633632914131</v>
      </c>
      <c r="D38" s="671" t="s">
        <v>460</v>
      </c>
      <c r="E38" s="736" t="s">
        <v>409</v>
      </c>
      <c r="F38" s="112">
        <f t="shared" si="3"/>
        <v>24</v>
      </c>
    </row>
    <row r="39" spans="1:6">
      <c r="A39" s="326">
        <f t="shared" si="2"/>
        <v>25</v>
      </c>
      <c r="B39" s="737"/>
      <c r="C39" s="15"/>
      <c r="D39" s="693"/>
      <c r="E39" s="752"/>
      <c r="F39" s="112">
        <f t="shared" si="3"/>
        <v>25</v>
      </c>
    </row>
    <row r="40" spans="1:6">
      <c r="A40" s="326">
        <f t="shared" si="2"/>
        <v>26</v>
      </c>
      <c r="B40" s="735" t="str">
        <f>B14</f>
        <v>Section 3 - Cost Component Containing Other Specific Expenses</v>
      </c>
      <c r="C40" s="306">
        <f>C14/12</f>
        <v>44.795182653525188</v>
      </c>
      <c r="D40" s="671"/>
      <c r="E40" s="736" t="s">
        <v>410</v>
      </c>
      <c r="F40" s="112">
        <f t="shared" si="3"/>
        <v>26</v>
      </c>
    </row>
    <row r="41" spans="1:6">
      <c r="A41" s="326">
        <f t="shared" si="2"/>
        <v>27</v>
      </c>
      <c r="B41" s="737"/>
      <c r="C41" s="15"/>
      <c r="D41" s="693"/>
      <c r="E41" s="738"/>
      <c r="F41" s="112">
        <f t="shared" si="3"/>
        <v>27</v>
      </c>
    </row>
    <row r="42" spans="1:6">
      <c r="A42" s="326">
        <f t="shared" si="2"/>
        <v>28</v>
      </c>
      <c r="B42" s="735" t="str">
        <f>LEFT(B16,45)</f>
        <v>Section 4 - True-Up Adjustment Cost Component</v>
      </c>
      <c r="C42" s="15"/>
      <c r="D42" s="693"/>
      <c r="E42" s="753"/>
      <c r="F42" s="112">
        <f t="shared" si="3"/>
        <v>28</v>
      </c>
    </row>
    <row r="43" spans="1:6">
      <c r="A43" s="326">
        <f t="shared" si="2"/>
        <v>29</v>
      </c>
      <c r="B43" s="735"/>
      <c r="C43" s="15"/>
      <c r="D43" s="693"/>
      <c r="E43" s="753"/>
      <c r="F43" s="112">
        <f t="shared" si="3"/>
        <v>29</v>
      </c>
    </row>
    <row r="44" spans="1:6">
      <c r="A44" s="326">
        <f t="shared" si="2"/>
        <v>30</v>
      </c>
      <c r="B44" s="742" t="str">
        <f>B18</f>
        <v xml:space="preserve">   True-Up Adjustment derived in Cycle 7</v>
      </c>
      <c r="C44" s="887">
        <f>C18/12</f>
        <v>112.41309510524439</v>
      </c>
      <c r="D44" s="671" t="s">
        <v>460</v>
      </c>
      <c r="E44" s="736" t="s">
        <v>411</v>
      </c>
      <c r="F44" s="112">
        <f t="shared" si="3"/>
        <v>30</v>
      </c>
    </row>
    <row r="45" spans="1:6">
      <c r="A45" s="326">
        <f t="shared" si="2"/>
        <v>31</v>
      </c>
      <c r="B45" s="742"/>
      <c r="C45" s="12"/>
      <c r="D45" s="701"/>
      <c r="E45" s="743"/>
      <c r="F45" s="112">
        <f t="shared" si="3"/>
        <v>31</v>
      </c>
    </row>
    <row r="46" spans="1:6">
      <c r="A46" s="326">
        <f t="shared" si="2"/>
        <v>32</v>
      </c>
      <c r="B46" s="735" t="str">
        <f>B20</f>
        <v>Section 5 - Interest True-Up Adjustment Cost Component</v>
      </c>
      <c r="C46" s="511"/>
      <c r="D46" s="700"/>
      <c r="E46" s="754"/>
      <c r="F46" s="112">
        <f t="shared" si="3"/>
        <v>32</v>
      </c>
    </row>
    <row r="47" spans="1:6">
      <c r="A47" s="326">
        <f t="shared" si="2"/>
        <v>33</v>
      </c>
      <c r="B47" s="739"/>
      <c r="C47" s="511"/>
      <c r="D47" s="701"/>
      <c r="E47" s="754"/>
      <c r="F47" s="112">
        <f t="shared" si="3"/>
        <v>33</v>
      </c>
    </row>
    <row r="48" spans="1:6">
      <c r="A48" s="326">
        <f t="shared" si="2"/>
        <v>34</v>
      </c>
      <c r="B48" s="755" t="str">
        <f>B22</f>
        <v xml:space="preserve">   Cycle 6 Interest True-Up Adjustment</v>
      </c>
      <c r="C48" s="622">
        <f>C22/12</f>
        <v>-3.2133367284310759</v>
      </c>
      <c r="D48" s="620"/>
      <c r="E48" s="736" t="s">
        <v>412</v>
      </c>
      <c r="F48" s="112">
        <f t="shared" si="3"/>
        <v>34</v>
      </c>
    </row>
    <row r="49" spans="1:8">
      <c r="A49" s="326">
        <f t="shared" si="2"/>
        <v>35</v>
      </c>
      <c r="B49" s="755"/>
      <c r="C49" s="622"/>
      <c r="D49" s="620"/>
      <c r="E49" s="736"/>
      <c r="F49" s="112">
        <f t="shared" si="3"/>
        <v>35</v>
      </c>
      <c r="H49" s="485"/>
    </row>
    <row r="50" spans="1:8">
      <c r="A50" s="326">
        <f t="shared" si="2"/>
        <v>36</v>
      </c>
      <c r="B50" s="746" t="s">
        <v>20</v>
      </c>
      <c r="C50" s="504">
        <f>C26/12</f>
        <v>-80.108999999999995</v>
      </c>
      <c r="D50" s="620"/>
      <c r="E50" s="736" t="s">
        <v>414</v>
      </c>
      <c r="F50" s="112">
        <f t="shared" si="3"/>
        <v>36</v>
      </c>
    </row>
    <row r="51" spans="1:8">
      <c r="A51" s="326">
        <f t="shared" si="2"/>
        <v>37</v>
      </c>
      <c r="B51" s="737"/>
      <c r="C51" s="14"/>
      <c r="D51" s="706"/>
      <c r="E51" s="99"/>
      <c r="F51" s="112">
        <f t="shared" si="3"/>
        <v>37</v>
      </c>
    </row>
    <row r="52" spans="1:8" ht="16" thickBot="1">
      <c r="A52" s="326">
        <f t="shared" si="2"/>
        <v>38</v>
      </c>
      <c r="B52" s="737" t="s">
        <v>672</v>
      </c>
      <c r="C52" s="307">
        <f>C28/12</f>
        <v>209.77578128642767</v>
      </c>
      <c r="D52" s="671" t="s">
        <v>460</v>
      </c>
      <c r="E52" s="743" t="s">
        <v>415</v>
      </c>
      <c r="F52" s="112">
        <f t="shared" si="3"/>
        <v>38</v>
      </c>
    </row>
    <row r="53" spans="1:8" ht="16" thickTop="1">
      <c r="A53" s="326">
        <f t="shared" si="2"/>
        <v>39</v>
      </c>
      <c r="B53" s="737"/>
      <c r="C53" s="512"/>
      <c r="D53" s="728"/>
      <c r="E53" s="756"/>
      <c r="F53" s="112">
        <f t="shared" si="3"/>
        <v>39</v>
      </c>
    </row>
    <row r="54" spans="1:8">
      <c r="A54" s="326">
        <f t="shared" si="2"/>
        <v>40</v>
      </c>
      <c r="B54" s="746" t="s">
        <v>673</v>
      </c>
      <c r="C54" s="905">
        <v>12</v>
      </c>
      <c r="D54" s="729"/>
      <c r="E54" s="756"/>
      <c r="F54" s="112">
        <f t="shared" si="3"/>
        <v>40</v>
      </c>
    </row>
    <row r="55" spans="1:8">
      <c r="A55" s="326">
        <f t="shared" si="2"/>
        <v>41</v>
      </c>
      <c r="B55" s="737"/>
      <c r="C55" s="512"/>
      <c r="D55" s="728"/>
      <c r="E55" s="757"/>
      <c r="F55" s="112">
        <f t="shared" si="3"/>
        <v>41</v>
      </c>
    </row>
    <row r="56" spans="1:8" ht="16" thickBot="1">
      <c r="A56" s="326">
        <f t="shared" si="2"/>
        <v>42</v>
      </c>
      <c r="B56" s="746" t="s">
        <v>403</v>
      </c>
      <c r="C56" s="888">
        <f>C52*C54</f>
        <v>2517.3093754371321</v>
      </c>
      <c r="D56" s="671" t="s">
        <v>460</v>
      </c>
      <c r="E56" s="743" t="s">
        <v>416</v>
      </c>
      <c r="F56" s="112">
        <f t="shared" si="3"/>
        <v>42</v>
      </c>
    </row>
    <row r="57" spans="1:8" ht="16.5" thickTop="1" thickBot="1">
      <c r="A57" s="326">
        <f t="shared" si="2"/>
        <v>43</v>
      </c>
      <c r="B57" s="758"/>
      <c r="C57" s="13"/>
      <c r="D57" s="730"/>
      <c r="E57" s="305"/>
      <c r="F57" s="112">
        <f t="shared" si="3"/>
        <v>43</v>
      </c>
    </row>
    <row r="60" spans="1:8">
      <c r="A60" s="671" t="s">
        <v>460</v>
      </c>
      <c r="B60" s="5" t="str">
        <f>'Pg2 App X C7 Comparison'!B63</f>
        <v>Items in BOLD have changed to correct the over-allocation of "Duplicate Charges (Company Energy Use)" Credit in FERC Account no. 929.</v>
      </c>
    </row>
  </sheetData>
  <mergeCells count="4">
    <mergeCell ref="B2:E2"/>
    <mergeCell ref="B3:E3"/>
    <mergeCell ref="B4:E4"/>
    <mergeCell ref="B5:E5"/>
  </mergeCells>
  <printOptions horizontalCentered="1"/>
  <pageMargins left="0.5" right="0.5" top="0.5" bottom="0.5" header="0.35" footer="0.25"/>
  <pageSetup scale="63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1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69.1796875" style="7" customWidth="1"/>
    <col min="3" max="3" width="18.81640625" style="7" customWidth="1"/>
    <col min="4" max="4" width="2" style="7" bestFit="1" customWidth="1"/>
    <col min="5" max="5" width="54.1796875" style="7" bestFit="1" customWidth="1"/>
    <col min="6" max="6" width="5.1796875" style="106" customWidth="1"/>
    <col min="7" max="16384" width="8.81640625" style="7"/>
  </cols>
  <sheetData>
    <row r="1" spans="1:8">
      <c r="A1" s="914" t="s">
        <v>769</v>
      </c>
    </row>
    <row r="2" spans="1:8">
      <c r="A2" s="658"/>
      <c r="B2" s="93"/>
      <c r="C2" s="93"/>
      <c r="D2" s="93"/>
      <c r="E2" s="93"/>
      <c r="F2" s="658"/>
    </row>
    <row r="3" spans="1:8">
      <c r="B3" s="1013" t="s">
        <v>21</v>
      </c>
      <c r="C3" s="1013"/>
      <c r="D3" s="1013"/>
      <c r="E3" s="1013"/>
      <c r="F3" s="110"/>
    </row>
    <row r="4" spans="1:8">
      <c r="B4" s="1013" t="s">
        <v>22</v>
      </c>
      <c r="C4" s="1013"/>
      <c r="D4" s="1013"/>
      <c r="E4" s="1013"/>
      <c r="F4" s="110"/>
    </row>
    <row r="5" spans="1:8">
      <c r="A5" s="658"/>
      <c r="B5" s="1015" t="s">
        <v>401</v>
      </c>
      <c r="C5" s="1015"/>
      <c r="D5" s="1015"/>
      <c r="E5" s="1015"/>
      <c r="F5" s="658"/>
    </row>
    <row r="6" spans="1:8">
      <c r="B6" s="1014" t="s">
        <v>1</v>
      </c>
      <c r="C6" s="1013"/>
      <c r="D6" s="1013"/>
      <c r="E6" s="1013"/>
      <c r="F6" s="110"/>
    </row>
    <row r="7" spans="1:8" ht="16" thickBot="1">
      <c r="A7" s="658"/>
      <c r="B7" s="93"/>
      <c r="C7" s="82"/>
      <c r="D7" s="82"/>
      <c r="E7" s="82"/>
      <c r="F7" s="658"/>
    </row>
    <row r="8" spans="1:8">
      <c r="A8" s="326" t="s">
        <v>2</v>
      </c>
      <c r="B8" s="661"/>
      <c r="C8" s="507" t="s">
        <v>23</v>
      </c>
      <c r="D8" s="689"/>
      <c r="E8" s="732"/>
      <c r="F8" s="112" t="s">
        <v>2</v>
      </c>
    </row>
    <row r="9" spans="1:8">
      <c r="A9" s="326" t="s">
        <v>3</v>
      </c>
      <c r="B9" s="733" t="s">
        <v>24</v>
      </c>
      <c r="C9" s="95" t="s">
        <v>25</v>
      </c>
      <c r="D9" s="557"/>
      <c r="E9" s="301" t="s">
        <v>5</v>
      </c>
      <c r="F9" s="112" t="s">
        <v>3</v>
      </c>
    </row>
    <row r="10" spans="1:8">
      <c r="A10" s="326"/>
      <c r="B10" s="734"/>
      <c r="C10" s="68"/>
      <c r="D10" s="668"/>
      <c r="E10" s="302"/>
      <c r="F10" s="112"/>
    </row>
    <row r="11" spans="1:8">
      <c r="A11" s="326">
        <v>1</v>
      </c>
      <c r="B11" s="735" t="s">
        <v>26</v>
      </c>
      <c r="C11" s="891">
        <v>73.082047123374281</v>
      </c>
      <c r="D11" s="669"/>
      <c r="E11" s="736" t="s">
        <v>701</v>
      </c>
      <c r="F11" s="112">
        <f>A11</f>
        <v>1</v>
      </c>
      <c r="H11" s="105"/>
    </row>
    <row r="12" spans="1:8">
      <c r="A12" s="326">
        <f>A11+1</f>
        <v>2</v>
      </c>
      <c r="B12" s="737"/>
      <c r="C12" s="892"/>
      <c r="D12" s="670"/>
      <c r="E12" s="99"/>
      <c r="F12" s="112">
        <f>F11+1</f>
        <v>2</v>
      </c>
    </row>
    <row r="13" spans="1:8">
      <c r="A13" s="326">
        <f t="shared" ref="A13:A30" si="0">A12+1</f>
        <v>3</v>
      </c>
      <c r="B13" s="735" t="s">
        <v>27</v>
      </c>
      <c r="C13" s="903">
        <v>1555.8119872621462</v>
      </c>
      <c r="D13" s="671" t="s">
        <v>460</v>
      </c>
      <c r="E13" s="736" t="s">
        <v>702</v>
      </c>
      <c r="F13" s="112">
        <f t="shared" ref="F13:F30" si="1">F12+1</f>
        <v>3</v>
      </c>
      <c r="H13" s="482"/>
    </row>
    <row r="14" spans="1:8">
      <c r="A14" s="326">
        <f t="shared" si="0"/>
        <v>4</v>
      </c>
      <c r="B14" s="737"/>
      <c r="C14" s="892"/>
      <c r="D14" s="670"/>
      <c r="E14" s="738"/>
      <c r="F14" s="112">
        <f t="shared" si="1"/>
        <v>4</v>
      </c>
    </row>
    <row r="15" spans="1:8">
      <c r="A15" s="326">
        <f t="shared" si="0"/>
        <v>5</v>
      </c>
      <c r="B15" s="739" t="s">
        <v>28</v>
      </c>
      <c r="C15" s="944">
        <v>537.54219184230226</v>
      </c>
      <c r="D15" s="675"/>
      <c r="E15" s="736" t="s">
        <v>703</v>
      </c>
      <c r="F15" s="112">
        <f t="shared" si="1"/>
        <v>5</v>
      </c>
      <c r="H15" s="482"/>
    </row>
    <row r="16" spans="1:8">
      <c r="A16" s="326">
        <f t="shared" si="0"/>
        <v>6</v>
      </c>
      <c r="B16" s="735"/>
      <c r="C16" s="892"/>
      <c r="D16" s="670"/>
      <c r="E16" s="740"/>
      <c r="F16" s="112">
        <f t="shared" si="1"/>
        <v>6</v>
      </c>
    </row>
    <row r="17" spans="1:10">
      <c r="A17" s="326">
        <f t="shared" si="0"/>
        <v>7</v>
      </c>
      <c r="B17" s="735" t="s">
        <v>29</v>
      </c>
      <c r="C17" s="892"/>
      <c r="D17" s="670"/>
      <c r="E17" s="740"/>
      <c r="F17" s="112">
        <f t="shared" si="1"/>
        <v>7</v>
      </c>
    </row>
    <row r="18" spans="1:10">
      <c r="A18" s="326">
        <f t="shared" si="0"/>
        <v>8</v>
      </c>
      <c r="B18" s="735"/>
      <c r="C18" s="892"/>
      <c r="D18" s="670"/>
      <c r="E18" s="741"/>
      <c r="F18" s="112">
        <f t="shared" si="1"/>
        <v>8</v>
      </c>
    </row>
    <row r="19" spans="1:10">
      <c r="A19" s="326">
        <f t="shared" si="0"/>
        <v>9</v>
      </c>
      <c r="B19" s="742" t="s">
        <v>402</v>
      </c>
      <c r="C19" s="903">
        <v>1348.1571162459422</v>
      </c>
      <c r="D19" s="671" t="s">
        <v>460</v>
      </c>
      <c r="E19" s="743" t="s">
        <v>704</v>
      </c>
      <c r="F19" s="112">
        <f t="shared" si="1"/>
        <v>9</v>
      </c>
      <c r="H19" s="105"/>
    </row>
    <row r="20" spans="1:10">
      <c r="A20" s="326">
        <f t="shared" si="0"/>
        <v>10</v>
      </c>
      <c r="B20" s="742"/>
      <c r="C20" s="894"/>
      <c r="D20" s="121"/>
      <c r="E20" s="743"/>
      <c r="F20" s="112">
        <f t="shared" si="1"/>
        <v>10</v>
      </c>
    </row>
    <row r="21" spans="1:10">
      <c r="A21" s="326">
        <f t="shared" si="0"/>
        <v>11</v>
      </c>
      <c r="B21" s="735" t="s">
        <v>30</v>
      </c>
      <c r="C21" s="945"/>
      <c r="D21" s="680"/>
      <c r="E21" s="968"/>
      <c r="F21" s="112">
        <f t="shared" si="1"/>
        <v>11</v>
      </c>
    </row>
    <row r="22" spans="1:10">
      <c r="A22" s="326">
        <f t="shared" si="0"/>
        <v>12</v>
      </c>
      <c r="B22" s="739"/>
      <c r="C22" s="946"/>
      <c r="D22" s="947"/>
      <c r="E22" s="743"/>
      <c r="F22" s="112">
        <f t="shared" si="1"/>
        <v>12</v>
      </c>
    </row>
    <row r="23" spans="1:10">
      <c r="A23" s="326">
        <f t="shared" si="0"/>
        <v>13</v>
      </c>
      <c r="B23" s="742" t="s">
        <v>474</v>
      </c>
      <c r="C23" s="355">
        <v>-38.560040741172912</v>
      </c>
      <c r="D23" s="134"/>
      <c r="E23" s="743" t="s">
        <v>404</v>
      </c>
      <c r="F23" s="112">
        <f t="shared" si="1"/>
        <v>13</v>
      </c>
      <c r="H23" s="482"/>
    </row>
    <row r="24" spans="1:10">
      <c r="A24" s="326">
        <f t="shared" si="0"/>
        <v>14</v>
      </c>
      <c r="B24" s="744"/>
      <c r="C24" s="948"/>
      <c r="D24" s="949"/>
      <c r="E24" s="743"/>
      <c r="F24" s="112">
        <f t="shared" si="1"/>
        <v>14</v>
      </c>
    </row>
    <row r="25" spans="1:10" ht="16" thickBot="1">
      <c r="A25" s="326">
        <f t="shared" si="0"/>
        <v>15</v>
      </c>
      <c r="B25" s="737" t="s">
        <v>671</v>
      </c>
      <c r="C25" s="617">
        <f>C11+C13+C15+C19+C23</f>
        <v>3476.033301732592</v>
      </c>
      <c r="D25" s="671" t="s">
        <v>460</v>
      </c>
      <c r="E25" s="745" t="s">
        <v>405</v>
      </c>
      <c r="F25" s="112">
        <f t="shared" si="1"/>
        <v>15</v>
      </c>
      <c r="I25" s="105"/>
      <c r="J25" s="483"/>
    </row>
    <row r="26" spans="1:10" ht="16" thickTop="1">
      <c r="A26" s="326">
        <f t="shared" si="0"/>
        <v>16</v>
      </c>
      <c r="B26" s="737"/>
      <c r="C26" s="618"/>
      <c r="D26" s="727"/>
      <c r="E26" s="745"/>
      <c r="F26" s="112">
        <f t="shared" si="1"/>
        <v>16</v>
      </c>
      <c r="I26" s="105"/>
      <c r="J26" s="483"/>
    </row>
    <row r="27" spans="1:10">
      <c r="A27" s="326">
        <f t="shared" si="0"/>
        <v>17</v>
      </c>
      <c r="B27" s="746" t="s">
        <v>20</v>
      </c>
      <c r="C27" s="619">
        <v>-961.30799999999999</v>
      </c>
      <c r="D27" s="675"/>
      <c r="E27" s="745" t="s">
        <v>406</v>
      </c>
      <c r="F27" s="112">
        <f t="shared" si="1"/>
        <v>17</v>
      </c>
      <c r="I27" s="105"/>
      <c r="J27" s="483"/>
    </row>
    <row r="28" spans="1:10">
      <c r="A28" s="326">
        <f t="shared" si="0"/>
        <v>18</v>
      </c>
      <c r="B28" s="737"/>
      <c r="C28" s="618"/>
      <c r="D28" s="727"/>
      <c r="E28" s="745"/>
      <c r="F28" s="112">
        <f t="shared" si="1"/>
        <v>18</v>
      </c>
      <c r="I28" s="105"/>
      <c r="J28" s="483"/>
    </row>
    <row r="29" spans="1:10" ht="16" thickBot="1">
      <c r="A29" s="326">
        <f t="shared" si="0"/>
        <v>19</v>
      </c>
      <c r="B29" s="737" t="s">
        <v>403</v>
      </c>
      <c r="C29" s="617">
        <f>C25+C27</f>
        <v>2514.725301732592</v>
      </c>
      <c r="D29" s="671" t="s">
        <v>460</v>
      </c>
      <c r="E29" s="745" t="s">
        <v>407</v>
      </c>
      <c r="F29" s="112">
        <f t="shared" si="1"/>
        <v>19</v>
      </c>
      <c r="I29" s="105"/>
      <c r="J29" s="483"/>
    </row>
    <row r="30" spans="1:10" ht="16.5" thickTop="1" thickBot="1">
      <c r="A30" s="326">
        <f t="shared" si="0"/>
        <v>20</v>
      </c>
      <c r="B30" s="747"/>
      <c r="C30" s="510"/>
      <c r="D30" s="686"/>
      <c r="E30" s="748"/>
      <c r="F30" s="112">
        <f t="shared" si="1"/>
        <v>20</v>
      </c>
    </row>
    <row r="32" spans="1:10" ht="16" thickBot="1">
      <c r="A32" s="658"/>
      <c r="B32" s="207"/>
      <c r="C32" s="69"/>
      <c r="D32" s="69"/>
      <c r="E32" s="69"/>
      <c r="F32" s="658"/>
    </row>
    <row r="33" spans="1:6">
      <c r="A33" s="327"/>
      <c r="B33" s="749"/>
      <c r="C33" s="507"/>
      <c r="D33" s="689"/>
      <c r="E33" s="732"/>
      <c r="F33" s="110"/>
    </row>
    <row r="34" spans="1:6">
      <c r="A34" s="326" t="s">
        <v>2</v>
      </c>
      <c r="B34" s="750"/>
      <c r="C34" s="67" t="s">
        <v>23</v>
      </c>
      <c r="D34" s="93"/>
      <c r="E34" s="99"/>
      <c r="F34" s="112" t="s">
        <v>2</v>
      </c>
    </row>
    <row r="35" spans="1:6">
      <c r="A35" s="326" t="s">
        <v>3</v>
      </c>
      <c r="B35" s="733" t="s">
        <v>31</v>
      </c>
      <c r="C35" s="95" t="s">
        <v>25</v>
      </c>
      <c r="D35" s="557"/>
      <c r="E35" s="301" t="s">
        <v>5</v>
      </c>
      <c r="F35" s="112" t="s">
        <v>3</v>
      </c>
    </row>
    <row r="36" spans="1:6">
      <c r="A36" s="326">
        <f>A30+1</f>
        <v>21</v>
      </c>
      <c r="B36" s="737"/>
      <c r="C36" s="68"/>
      <c r="D36" s="668"/>
      <c r="E36" s="302"/>
      <c r="F36" s="112">
        <f>F30+1</f>
        <v>21</v>
      </c>
    </row>
    <row r="37" spans="1:6">
      <c r="A37" s="326">
        <f>A36+1</f>
        <v>22</v>
      </c>
      <c r="B37" s="735" t="str">
        <f>B11</f>
        <v>Section 1 - Direct Maintenance Expense Cost Component</v>
      </c>
      <c r="C37" s="16">
        <f>C11/12</f>
        <v>6.0901705936145234</v>
      </c>
      <c r="D37" s="691"/>
      <c r="E37" s="736" t="s">
        <v>408</v>
      </c>
      <c r="F37" s="112">
        <f>F36+1</f>
        <v>22</v>
      </c>
    </row>
    <row r="38" spans="1:6">
      <c r="A38" s="326">
        <f t="shared" ref="A38:A58" si="2">A37+1</f>
        <v>23</v>
      </c>
      <c r="B38" s="737"/>
      <c r="C38" s="15"/>
      <c r="D38" s="693"/>
      <c r="E38" s="751"/>
      <c r="F38" s="112">
        <f t="shared" ref="F38:F58" si="3">F37+1</f>
        <v>23</v>
      </c>
    </row>
    <row r="39" spans="1:6">
      <c r="A39" s="326">
        <f t="shared" si="2"/>
        <v>24</v>
      </c>
      <c r="B39" s="735" t="str">
        <f>B13</f>
        <v>Section 2 - Non-Direct Expense Cost Component</v>
      </c>
      <c r="C39" s="887">
        <f>C13/12</f>
        <v>129.65099893851217</v>
      </c>
      <c r="D39" s="671" t="s">
        <v>460</v>
      </c>
      <c r="E39" s="736" t="s">
        <v>409</v>
      </c>
      <c r="F39" s="112">
        <f t="shared" si="3"/>
        <v>24</v>
      </c>
    </row>
    <row r="40" spans="1:6">
      <c r="A40" s="326">
        <f t="shared" si="2"/>
        <v>25</v>
      </c>
      <c r="B40" s="737"/>
      <c r="C40" s="15"/>
      <c r="D40" s="693"/>
      <c r="E40" s="752"/>
      <c r="F40" s="112">
        <f t="shared" si="3"/>
        <v>25</v>
      </c>
    </row>
    <row r="41" spans="1:6">
      <c r="A41" s="326">
        <f t="shared" si="2"/>
        <v>26</v>
      </c>
      <c r="B41" s="735" t="str">
        <f>B15</f>
        <v>Section 3 - Cost Component Containing Other Specific Expenses</v>
      </c>
      <c r="C41" s="887">
        <f>C15/12</f>
        <v>44.795182653525188</v>
      </c>
      <c r="D41" s="671" t="s">
        <v>460</v>
      </c>
      <c r="E41" s="736" t="s">
        <v>410</v>
      </c>
      <c r="F41" s="112">
        <f t="shared" si="3"/>
        <v>26</v>
      </c>
    </row>
    <row r="42" spans="1:6">
      <c r="A42" s="326">
        <f t="shared" si="2"/>
        <v>27</v>
      </c>
      <c r="B42" s="737"/>
      <c r="C42" s="15"/>
      <c r="D42" s="693"/>
      <c r="E42" s="738"/>
      <c r="F42" s="112">
        <f t="shared" si="3"/>
        <v>27</v>
      </c>
    </row>
    <row r="43" spans="1:6">
      <c r="A43" s="326">
        <f t="shared" si="2"/>
        <v>28</v>
      </c>
      <c r="B43" s="735" t="str">
        <f>LEFT(B17,45)</f>
        <v>Section 4 - True-Up Adjustment Cost Component</v>
      </c>
      <c r="C43" s="15"/>
      <c r="D43" s="693"/>
      <c r="E43" s="753"/>
      <c r="F43" s="112">
        <f t="shared" si="3"/>
        <v>28</v>
      </c>
    </row>
    <row r="44" spans="1:6">
      <c r="A44" s="326">
        <f t="shared" si="2"/>
        <v>29</v>
      </c>
      <c r="B44" s="735"/>
      <c r="C44" s="15"/>
      <c r="D44" s="693"/>
      <c r="E44" s="753"/>
      <c r="F44" s="112">
        <f t="shared" si="3"/>
        <v>29</v>
      </c>
    </row>
    <row r="45" spans="1:6">
      <c r="A45" s="326">
        <f t="shared" si="2"/>
        <v>30</v>
      </c>
      <c r="B45" s="742" t="str">
        <f>B19</f>
        <v xml:space="preserve">   True-Up Adjustment derived in Cycle 7</v>
      </c>
      <c r="C45" s="887">
        <f>C19/12</f>
        <v>112.34642635382852</v>
      </c>
      <c r="D45" s="671" t="s">
        <v>460</v>
      </c>
      <c r="E45" s="736" t="s">
        <v>411</v>
      </c>
      <c r="F45" s="112">
        <f t="shared" si="3"/>
        <v>30</v>
      </c>
    </row>
    <row r="46" spans="1:6">
      <c r="A46" s="326">
        <f t="shared" si="2"/>
        <v>31</v>
      </c>
      <c r="B46" s="742"/>
      <c r="C46" s="12"/>
      <c r="D46" s="701"/>
      <c r="E46" s="743"/>
      <c r="F46" s="112">
        <f t="shared" si="3"/>
        <v>31</v>
      </c>
    </row>
    <row r="47" spans="1:6">
      <c r="A47" s="326">
        <f t="shared" si="2"/>
        <v>32</v>
      </c>
      <c r="B47" s="735" t="str">
        <f>B21</f>
        <v>Section 5 - Interest True-Up Adjustment Cost Component</v>
      </c>
      <c r="C47" s="950"/>
      <c r="D47" s="951"/>
      <c r="E47" s="754"/>
      <c r="F47" s="112">
        <f t="shared" si="3"/>
        <v>32</v>
      </c>
    </row>
    <row r="48" spans="1:6">
      <c r="A48" s="326">
        <f t="shared" si="2"/>
        <v>33</v>
      </c>
      <c r="B48" s="739"/>
      <c r="C48" s="950"/>
      <c r="D48" s="701"/>
      <c r="E48" s="754"/>
      <c r="F48" s="112">
        <f t="shared" si="3"/>
        <v>33</v>
      </c>
    </row>
    <row r="49" spans="1:8">
      <c r="A49" s="326">
        <f t="shared" si="2"/>
        <v>34</v>
      </c>
      <c r="B49" s="755" t="str">
        <f>B23</f>
        <v xml:space="preserve">   Cycle 6 Interest True-Up Adjustment</v>
      </c>
      <c r="C49" s="952">
        <f>C23/12</f>
        <v>-3.2133367284310759</v>
      </c>
      <c r="D49" s="620"/>
      <c r="E49" s="736" t="s">
        <v>412</v>
      </c>
      <c r="F49" s="112">
        <f t="shared" si="3"/>
        <v>34</v>
      </c>
    </row>
    <row r="50" spans="1:8">
      <c r="A50" s="326">
        <f t="shared" si="2"/>
        <v>35</v>
      </c>
      <c r="B50" s="755"/>
      <c r="C50" s="952"/>
      <c r="D50" s="620"/>
      <c r="E50" s="736"/>
      <c r="F50" s="112">
        <f t="shared" si="3"/>
        <v>35</v>
      </c>
      <c r="H50" s="485"/>
    </row>
    <row r="51" spans="1:8">
      <c r="A51" s="326">
        <f t="shared" si="2"/>
        <v>36</v>
      </c>
      <c r="B51" s="746" t="s">
        <v>20</v>
      </c>
      <c r="C51" s="504">
        <f>C27/12</f>
        <v>-80.108999999999995</v>
      </c>
      <c r="D51" s="620"/>
      <c r="E51" s="736" t="s">
        <v>414</v>
      </c>
      <c r="F51" s="112">
        <f t="shared" si="3"/>
        <v>36</v>
      </c>
    </row>
    <row r="52" spans="1:8">
      <c r="A52" s="326">
        <f t="shared" si="2"/>
        <v>37</v>
      </c>
      <c r="B52" s="737"/>
      <c r="C52" s="14"/>
      <c r="D52" s="706"/>
      <c r="E52" s="99"/>
      <c r="F52" s="112">
        <f t="shared" si="3"/>
        <v>37</v>
      </c>
    </row>
    <row r="53" spans="1:8" ht="16" thickBot="1">
      <c r="A53" s="326">
        <f t="shared" si="2"/>
        <v>38</v>
      </c>
      <c r="B53" s="737" t="s">
        <v>672</v>
      </c>
      <c r="C53" s="307">
        <f>C37+C39+C41+C45+C49+C51</f>
        <v>209.56044181104932</v>
      </c>
      <c r="D53" s="671" t="s">
        <v>460</v>
      </c>
      <c r="E53" s="743" t="s">
        <v>415</v>
      </c>
      <c r="F53" s="112">
        <f t="shared" si="3"/>
        <v>38</v>
      </c>
    </row>
    <row r="54" spans="1:8" ht="16" thickTop="1">
      <c r="A54" s="326">
        <f t="shared" si="2"/>
        <v>39</v>
      </c>
      <c r="B54" s="737"/>
      <c r="C54" s="953"/>
      <c r="D54" s="954"/>
      <c r="E54" s="756"/>
      <c r="F54" s="112">
        <f t="shared" si="3"/>
        <v>39</v>
      </c>
    </row>
    <row r="55" spans="1:8">
      <c r="A55" s="326">
        <f t="shared" si="2"/>
        <v>40</v>
      </c>
      <c r="B55" s="746" t="s">
        <v>673</v>
      </c>
      <c r="C55" s="905">
        <v>12</v>
      </c>
      <c r="D55" s="955"/>
      <c r="E55" s="756"/>
      <c r="F55" s="112">
        <f t="shared" si="3"/>
        <v>40</v>
      </c>
    </row>
    <row r="56" spans="1:8">
      <c r="A56" s="326">
        <f t="shared" si="2"/>
        <v>41</v>
      </c>
      <c r="B56" s="737"/>
      <c r="C56" s="953"/>
      <c r="D56" s="954"/>
      <c r="E56" s="757"/>
      <c r="F56" s="112">
        <f t="shared" si="3"/>
        <v>41</v>
      </c>
    </row>
    <row r="57" spans="1:8" ht="16" thickBot="1">
      <c r="A57" s="326">
        <f t="shared" si="2"/>
        <v>42</v>
      </c>
      <c r="B57" s="746" t="s">
        <v>403</v>
      </c>
      <c r="C57" s="888">
        <f>C53*C55</f>
        <v>2514.725301732592</v>
      </c>
      <c r="D57" s="671" t="s">
        <v>460</v>
      </c>
      <c r="E57" s="743" t="s">
        <v>416</v>
      </c>
      <c r="F57" s="112">
        <f t="shared" si="3"/>
        <v>42</v>
      </c>
    </row>
    <row r="58" spans="1:8" ht="16.5" thickTop="1" thickBot="1">
      <c r="A58" s="326">
        <f t="shared" si="2"/>
        <v>43</v>
      </c>
      <c r="B58" s="758"/>
      <c r="C58" s="13"/>
      <c r="D58" s="730"/>
      <c r="E58" s="305"/>
      <c r="F58" s="112">
        <f t="shared" si="3"/>
        <v>43</v>
      </c>
    </row>
    <row r="61" spans="1:8">
      <c r="A61" s="671" t="s">
        <v>460</v>
      </c>
      <c r="B61" s="5" t="s">
        <v>687</v>
      </c>
    </row>
  </sheetData>
  <mergeCells count="4">
    <mergeCell ref="B3:E3"/>
    <mergeCell ref="B4:E4"/>
    <mergeCell ref="B5:E5"/>
    <mergeCell ref="B6:E6"/>
  </mergeCells>
  <printOptions horizontalCentered="1"/>
  <pageMargins left="0.5" right="0.5" top="0.5" bottom="0.5" header="0.35" footer="0.25"/>
  <pageSetup scale="63" orientation="portrait" r:id="rId1"/>
  <headerFooter scaleWithDoc="0" alignWithMargins="0">
    <oddHeader>&amp;C&amp;"Times New Roman,Bold"&amp;7AS FILED SUMMARY WITH FERC AUDIT ADJ INCL IN APPENDIX X CYCLE 12 (ER24-176)</oddHeader>
    <oddFooter>&amp;L&amp;F&amp;C&amp;"Times New Roman,Regular"&amp;10Page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2518-B778-41BE-B06E-AFEE86860063}">
  <dimension ref="A1:J245"/>
  <sheetViews>
    <sheetView zoomScale="80" zoomScaleNormal="80" workbookViewId="0"/>
  </sheetViews>
  <sheetFormatPr defaultColWidth="8.81640625" defaultRowHeight="15.5"/>
  <cols>
    <col min="1" max="1" width="5.1796875" style="116" customWidth="1"/>
    <col min="2" max="2" width="93.1796875" style="7" bestFit="1" customWidth="1"/>
    <col min="3" max="3" width="10.453125" style="7" customWidth="1"/>
    <col min="4" max="4" width="1.54296875" style="7" customWidth="1"/>
    <col min="5" max="5" width="16.81640625" style="7" customWidth="1"/>
    <col min="6" max="6" width="1.54296875" style="7" customWidth="1"/>
    <col min="7" max="7" width="43.453125" style="7" customWidth="1"/>
    <col min="8" max="8" width="5.1796875" style="106" customWidth="1"/>
    <col min="9" max="9" width="8.81640625" style="7"/>
    <col min="10" max="10" width="9.81640625" style="7" bestFit="1" customWidth="1"/>
    <col min="11" max="16384" width="8.81640625" style="7"/>
  </cols>
  <sheetData>
    <row r="1" spans="1:8">
      <c r="A1" s="330"/>
      <c r="B1" s="19"/>
      <c r="C1" s="19"/>
      <c r="D1" s="19"/>
      <c r="E1" s="56"/>
      <c r="F1" s="56"/>
      <c r="G1" s="56"/>
      <c r="H1" s="325"/>
    </row>
    <row r="2" spans="1:8">
      <c r="B2" s="1017" t="s">
        <v>0</v>
      </c>
      <c r="C2" s="1017"/>
      <c r="D2" s="1017"/>
      <c r="E2" s="1017"/>
      <c r="F2" s="1017"/>
      <c r="G2" s="1017"/>
      <c r="H2" s="330"/>
    </row>
    <row r="3" spans="1:8">
      <c r="B3" s="1017" t="s">
        <v>32</v>
      </c>
      <c r="C3" s="1017"/>
      <c r="D3" s="1017"/>
      <c r="E3" s="1017"/>
      <c r="F3" s="1017"/>
      <c r="G3" s="1017"/>
      <c r="H3" s="330"/>
    </row>
    <row r="4" spans="1:8">
      <c r="B4" s="1017" t="s">
        <v>38</v>
      </c>
      <c r="C4" s="1017"/>
      <c r="D4" s="1017"/>
      <c r="E4" s="1017"/>
      <c r="F4" s="1017"/>
      <c r="G4" s="1017"/>
      <c r="H4" s="330"/>
    </row>
    <row r="5" spans="1:8">
      <c r="B5" s="1018" t="s">
        <v>480</v>
      </c>
      <c r="C5" s="1018"/>
      <c r="D5" s="1018"/>
      <c r="E5" s="1018"/>
      <c r="F5" s="1018"/>
      <c r="G5" s="1018"/>
      <c r="H5" s="330"/>
    </row>
    <row r="6" spans="1:8">
      <c r="B6" s="1019" t="s">
        <v>1</v>
      </c>
      <c r="C6" s="1019"/>
      <c r="D6" s="1019"/>
      <c r="E6" s="1019"/>
      <c r="F6" s="1019"/>
      <c r="G6" s="1019"/>
      <c r="H6" s="324"/>
    </row>
    <row r="7" spans="1:8">
      <c r="A7" s="331"/>
      <c r="B7" s="18"/>
      <c r="C7" s="18"/>
      <c r="D7" s="18"/>
      <c r="E7" s="18"/>
      <c r="F7" s="18"/>
      <c r="G7" s="56"/>
      <c r="H7" s="325"/>
    </row>
    <row r="8" spans="1:8">
      <c r="A8" s="332" t="s">
        <v>2</v>
      </c>
      <c r="B8" s="19"/>
      <c r="C8" s="19"/>
      <c r="D8" s="19"/>
      <c r="E8" s="18"/>
      <c r="F8" s="18"/>
      <c r="G8" s="19"/>
      <c r="H8" s="332" t="s">
        <v>2</v>
      </c>
    </row>
    <row r="9" spans="1:8">
      <c r="A9" s="332" t="s">
        <v>3</v>
      </c>
      <c r="B9" s="19"/>
      <c r="C9" s="19"/>
      <c r="D9" s="19"/>
      <c r="E9" s="321" t="s">
        <v>33</v>
      </c>
      <c r="F9" s="23"/>
      <c r="G9" s="321" t="s">
        <v>5</v>
      </c>
      <c r="H9" s="332" t="s">
        <v>3</v>
      </c>
    </row>
    <row r="10" spans="1:8">
      <c r="A10" s="332"/>
      <c r="B10" s="19"/>
      <c r="C10" s="19"/>
      <c r="D10" s="19"/>
      <c r="E10" s="18"/>
      <c r="F10" s="23"/>
      <c r="G10" s="18"/>
      <c r="H10" s="332"/>
    </row>
    <row r="11" spans="1:8">
      <c r="A11" s="332">
        <v>1</v>
      </c>
      <c r="B11" s="21" t="s">
        <v>39</v>
      </c>
      <c r="C11" s="21"/>
      <c r="D11" s="21"/>
      <c r="E11" s="56"/>
      <c r="F11" s="56"/>
      <c r="G11" s="18"/>
      <c r="H11" s="332">
        <f>A11</f>
        <v>1</v>
      </c>
    </row>
    <row r="12" spans="1:8">
      <c r="A12" s="332">
        <f>A11+1</f>
        <v>2</v>
      </c>
      <c r="B12" s="22" t="s">
        <v>40</v>
      </c>
      <c r="C12" s="30"/>
      <c r="D12" s="30"/>
      <c r="E12" s="356">
        <f>E61</f>
        <v>5.7864935031086383E-3</v>
      </c>
      <c r="F12" s="671"/>
      <c r="G12" s="17" t="s">
        <v>481</v>
      </c>
      <c r="H12" s="332">
        <f>H11+1</f>
        <v>2</v>
      </c>
    </row>
    <row r="13" spans="1:8">
      <c r="A13" s="332">
        <f t="shared" ref="A13:A41" si="0">A12+1</f>
        <v>3</v>
      </c>
      <c r="B13" s="19"/>
      <c r="C13" s="334"/>
      <c r="D13" s="334"/>
      <c r="E13" s="357"/>
      <c r="F13" s="23"/>
      <c r="G13" s="17"/>
      <c r="H13" s="332">
        <f t="shared" ref="H13:H41" si="1">H12+1</f>
        <v>3</v>
      </c>
    </row>
    <row r="14" spans="1:8">
      <c r="A14" s="332">
        <f t="shared" si="0"/>
        <v>4</v>
      </c>
      <c r="B14" s="22" t="s">
        <v>41</v>
      </c>
      <c r="C14" s="30"/>
      <c r="D14" s="30"/>
      <c r="E14" s="358">
        <f>E65</f>
        <v>8.8670151163371222E-4</v>
      </c>
      <c r="F14" s="312"/>
      <c r="G14" s="17" t="s">
        <v>482</v>
      </c>
      <c r="H14" s="332">
        <f t="shared" si="1"/>
        <v>4</v>
      </c>
    </row>
    <row r="15" spans="1:8">
      <c r="A15" s="332">
        <f t="shared" si="0"/>
        <v>5</v>
      </c>
      <c r="B15" s="19"/>
      <c r="C15" s="334"/>
      <c r="D15" s="334"/>
      <c r="E15" s="357"/>
      <c r="F15" s="23"/>
      <c r="G15" s="17"/>
      <c r="H15" s="332">
        <f t="shared" si="1"/>
        <v>5</v>
      </c>
    </row>
    <row r="16" spans="1:8">
      <c r="A16" s="332">
        <f t="shared" si="0"/>
        <v>6</v>
      </c>
      <c r="B16" s="22" t="s">
        <v>42</v>
      </c>
      <c r="C16" s="30"/>
      <c r="D16" s="30"/>
      <c r="E16" s="356">
        <f>E72</f>
        <v>6.0940439785382812E-3</v>
      </c>
      <c r="F16" s="311"/>
      <c r="G16" s="17" t="s">
        <v>483</v>
      </c>
      <c r="H16" s="332">
        <f t="shared" si="1"/>
        <v>6</v>
      </c>
    </row>
    <row r="17" spans="1:8">
      <c r="A17" s="332">
        <f t="shared" si="0"/>
        <v>7</v>
      </c>
      <c r="B17" s="56"/>
      <c r="C17" s="331"/>
      <c r="D17" s="331"/>
      <c r="E17" s="359"/>
      <c r="F17" s="313"/>
      <c r="G17" s="17"/>
      <c r="H17" s="332">
        <f t="shared" si="1"/>
        <v>7</v>
      </c>
    </row>
    <row r="18" spans="1:8">
      <c r="A18" s="332">
        <f t="shared" si="0"/>
        <v>8</v>
      </c>
      <c r="B18" s="22" t="s">
        <v>43</v>
      </c>
      <c r="C18" s="30"/>
      <c r="D18" s="30"/>
      <c r="E18" s="356">
        <f>E77</f>
        <v>2.7464253212534126E-4</v>
      </c>
      <c r="F18" s="311"/>
      <c r="G18" s="17" t="s">
        <v>484</v>
      </c>
      <c r="H18" s="332">
        <f t="shared" si="1"/>
        <v>8</v>
      </c>
    </row>
    <row r="19" spans="1:8">
      <c r="A19" s="332">
        <f t="shared" si="0"/>
        <v>9</v>
      </c>
      <c r="B19" s="19"/>
      <c r="C19" s="334"/>
      <c r="D19" s="334"/>
      <c r="E19" s="357"/>
      <c r="F19" s="23"/>
      <c r="G19" s="17"/>
      <c r="H19" s="332">
        <f t="shared" si="1"/>
        <v>9</v>
      </c>
    </row>
    <row r="20" spans="1:8">
      <c r="A20" s="332">
        <f t="shared" si="0"/>
        <v>10</v>
      </c>
      <c r="B20" s="22" t="s">
        <v>44</v>
      </c>
      <c r="C20" s="30"/>
      <c r="D20" s="30"/>
      <c r="E20" s="356">
        <f>E80</f>
        <v>3.7280226056417248E-3</v>
      </c>
      <c r="F20" s="311"/>
      <c r="G20" s="17" t="s">
        <v>485</v>
      </c>
      <c r="H20" s="332">
        <f t="shared" si="1"/>
        <v>10</v>
      </c>
    </row>
    <row r="21" spans="1:8">
      <c r="A21" s="332">
        <f t="shared" si="0"/>
        <v>11</v>
      </c>
      <c r="B21" s="19"/>
      <c r="C21" s="334"/>
      <c r="D21" s="334"/>
      <c r="E21" s="357"/>
      <c r="F21" s="23"/>
      <c r="G21" s="17"/>
      <c r="H21" s="332">
        <f t="shared" si="1"/>
        <v>11</v>
      </c>
    </row>
    <row r="22" spans="1:8">
      <c r="A22" s="332">
        <f t="shared" si="0"/>
        <v>12</v>
      </c>
      <c r="B22" s="22" t="s">
        <v>45</v>
      </c>
      <c r="C22" s="30"/>
      <c r="D22" s="30"/>
      <c r="E22" s="360">
        <v>0</v>
      </c>
      <c r="F22" s="23"/>
      <c r="G22" s="17" t="s">
        <v>46</v>
      </c>
      <c r="H22" s="332">
        <f t="shared" si="1"/>
        <v>12</v>
      </c>
    </row>
    <row r="23" spans="1:8">
      <c r="A23" s="332">
        <f t="shared" si="0"/>
        <v>13</v>
      </c>
      <c r="B23" s="19"/>
      <c r="C23" s="334"/>
      <c r="D23" s="334"/>
      <c r="E23" s="357"/>
      <c r="F23" s="23"/>
      <c r="G23" s="17"/>
      <c r="H23" s="332">
        <f t="shared" si="1"/>
        <v>13</v>
      </c>
    </row>
    <row r="24" spans="1:8">
      <c r="A24" s="332">
        <f t="shared" si="0"/>
        <v>14</v>
      </c>
      <c r="B24" s="22" t="s">
        <v>47</v>
      </c>
      <c r="C24" s="30"/>
      <c r="D24" s="30"/>
      <c r="E24" s="361">
        <v>0</v>
      </c>
      <c r="F24" s="23"/>
      <c r="G24" s="17" t="s">
        <v>46</v>
      </c>
      <c r="H24" s="332">
        <f t="shared" si="1"/>
        <v>14</v>
      </c>
    </row>
    <row r="25" spans="1:8">
      <c r="A25" s="332">
        <f t="shared" si="0"/>
        <v>15</v>
      </c>
      <c r="B25" s="19"/>
      <c r="C25" s="334"/>
      <c r="D25" s="334"/>
      <c r="E25" s="357"/>
      <c r="F25" s="23"/>
      <c r="G25" s="17"/>
      <c r="H25" s="332">
        <f t="shared" si="1"/>
        <v>15</v>
      </c>
    </row>
    <row r="26" spans="1:8">
      <c r="A26" s="332">
        <f t="shared" si="0"/>
        <v>16</v>
      </c>
      <c r="B26" s="22" t="s">
        <v>48</v>
      </c>
      <c r="C26" s="30"/>
      <c r="D26" s="30"/>
      <c r="E26" s="360">
        <v>0</v>
      </c>
      <c r="F26" s="23"/>
      <c r="G26" s="17" t="s">
        <v>46</v>
      </c>
      <c r="H26" s="332">
        <f t="shared" si="1"/>
        <v>16</v>
      </c>
    </row>
    <row r="27" spans="1:8">
      <c r="A27" s="332">
        <f t="shared" si="0"/>
        <v>17</v>
      </c>
      <c r="B27" s="19"/>
      <c r="C27" s="334"/>
      <c r="D27" s="334"/>
      <c r="E27" s="357"/>
      <c r="F27" s="23"/>
      <c r="G27" s="17"/>
      <c r="H27" s="332">
        <f t="shared" si="1"/>
        <v>17</v>
      </c>
    </row>
    <row r="28" spans="1:8">
      <c r="A28" s="332">
        <f t="shared" si="0"/>
        <v>18</v>
      </c>
      <c r="B28" s="22" t="s">
        <v>49</v>
      </c>
      <c r="C28" s="30"/>
      <c r="D28" s="30"/>
      <c r="E28" s="513">
        <f>E93</f>
        <v>1.3154261585458416E-3</v>
      </c>
      <c r="F28" s="311"/>
      <c r="G28" s="17" t="s">
        <v>486</v>
      </c>
      <c r="H28" s="332">
        <f t="shared" si="1"/>
        <v>18</v>
      </c>
    </row>
    <row r="29" spans="1:8">
      <c r="A29" s="332">
        <f t="shared" si="0"/>
        <v>19</v>
      </c>
      <c r="B29" s="24"/>
      <c r="C29" s="362"/>
      <c r="D29" s="362"/>
      <c r="E29" s="514"/>
      <c r="F29" s="54"/>
      <c r="G29" s="17"/>
      <c r="H29" s="332">
        <f t="shared" si="1"/>
        <v>19</v>
      </c>
    </row>
    <row r="30" spans="1:8">
      <c r="A30" s="332">
        <f t="shared" si="0"/>
        <v>20</v>
      </c>
      <c r="B30" s="22" t="s">
        <v>50</v>
      </c>
      <c r="C30" s="30"/>
      <c r="D30" s="30"/>
      <c r="E30" s="363">
        <f>SUM(E12:E28)</f>
        <v>1.8085330289593537E-2</v>
      </c>
      <c r="F30" s="671"/>
      <c r="G30" s="17" t="s">
        <v>487</v>
      </c>
      <c r="H30" s="332">
        <f t="shared" si="1"/>
        <v>20</v>
      </c>
    </row>
    <row r="31" spans="1:8">
      <c r="A31" s="332">
        <f t="shared" si="0"/>
        <v>21</v>
      </c>
      <c r="B31" s="19"/>
      <c r="C31" s="334"/>
      <c r="D31" s="334"/>
      <c r="E31" s="364"/>
      <c r="F31" s="25"/>
      <c r="G31" s="17"/>
      <c r="H31" s="332">
        <f t="shared" si="1"/>
        <v>21</v>
      </c>
    </row>
    <row r="32" spans="1:8">
      <c r="A32" s="332">
        <f t="shared" si="0"/>
        <v>22</v>
      </c>
      <c r="B32" s="56" t="s">
        <v>37</v>
      </c>
      <c r="C32" s="365">
        <v>1.0277E-2</v>
      </c>
      <c r="D32" s="334"/>
      <c r="E32" s="515">
        <f>E30*C32</f>
        <v>1.8586293938615279E-4</v>
      </c>
      <c r="F32" s="276"/>
      <c r="G32" s="17" t="s">
        <v>488</v>
      </c>
      <c r="H32" s="332">
        <f t="shared" si="1"/>
        <v>22</v>
      </c>
    </row>
    <row r="33" spans="1:8">
      <c r="A33" s="332">
        <f t="shared" si="0"/>
        <v>23</v>
      </c>
      <c r="B33" s="19"/>
      <c r="C33" s="334"/>
      <c r="D33" s="334"/>
      <c r="E33" s="516"/>
      <c r="F33" s="53"/>
      <c r="G33" s="17"/>
      <c r="H33" s="332">
        <f t="shared" si="1"/>
        <v>23</v>
      </c>
    </row>
    <row r="34" spans="1:8" ht="16" thickBot="1">
      <c r="A34" s="332">
        <f t="shared" si="0"/>
        <v>24</v>
      </c>
      <c r="B34" s="19" t="s">
        <v>51</v>
      </c>
      <c r="C34" s="334"/>
      <c r="D34" s="334"/>
      <c r="E34" s="517">
        <f>E30+E32</f>
        <v>1.8271193228979691E-2</v>
      </c>
      <c r="F34" s="671"/>
      <c r="G34" s="17" t="s">
        <v>489</v>
      </c>
      <c r="H34" s="332">
        <f t="shared" si="1"/>
        <v>24</v>
      </c>
    </row>
    <row r="35" spans="1:8" ht="16" thickTop="1">
      <c r="A35" s="332">
        <f t="shared" si="0"/>
        <v>25</v>
      </c>
      <c r="B35" s="56"/>
      <c r="C35" s="331"/>
      <c r="D35" s="331"/>
      <c r="E35" s="334"/>
      <c r="F35" s="19"/>
      <c r="G35" s="19"/>
      <c r="H35" s="332">
        <f t="shared" si="1"/>
        <v>25</v>
      </c>
    </row>
    <row r="36" spans="1:8">
      <c r="A36" s="332">
        <f t="shared" si="0"/>
        <v>26</v>
      </c>
      <c r="B36" s="21" t="s">
        <v>52</v>
      </c>
      <c r="C36" s="366"/>
      <c r="D36" s="366"/>
      <c r="E36" s="331"/>
      <c r="F36" s="56"/>
      <c r="G36" s="19"/>
      <c r="H36" s="332">
        <f t="shared" si="1"/>
        <v>26</v>
      </c>
    </row>
    <row r="37" spans="1:8">
      <c r="A37" s="332">
        <f t="shared" si="0"/>
        <v>27</v>
      </c>
      <c r="B37" s="22" t="s">
        <v>53</v>
      </c>
      <c r="C37" s="30"/>
      <c r="D37" s="30"/>
      <c r="E37" s="188">
        <v>85194</v>
      </c>
      <c r="F37" s="23"/>
      <c r="G37" s="17" t="s">
        <v>54</v>
      </c>
      <c r="H37" s="332">
        <f t="shared" si="1"/>
        <v>27</v>
      </c>
    </row>
    <row r="38" spans="1:8">
      <c r="A38" s="332">
        <f t="shared" si="0"/>
        <v>28</v>
      </c>
      <c r="B38" s="22"/>
      <c r="C38" s="30"/>
      <c r="D38" s="30"/>
      <c r="E38" s="30"/>
      <c r="F38" s="22"/>
      <c r="G38" s="17"/>
      <c r="H38" s="332">
        <f t="shared" si="1"/>
        <v>28</v>
      </c>
    </row>
    <row r="39" spans="1:8">
      <c r="A39" s="332">
        <f t="shared" si="0"/>
        <v>29</v>
      </c>
      <c r="B39" s="22" t="s">
        <v>55</v>
      </c>
      <c r="C39" s="30"/>
      <c r="D39" s="30"/>
      <c r="E39" s="363">
        <f>+E34</f>
        <v>1.8271193228979691E-2</v>
      </c>
      <c r="F39" s="671"/>
      <c r="G39" s="17" t="s">
        <v>490</v>
      </c>
      <c r="H39" s="332">
        <f t="shared" si="1"/>
        <v>29</v>
      </c>
    </row>
    <row r="40" spans="1:8">
      <c r="A40" s="332">
        <f t="shared" si="0"/>
        <v>30</v>
      </c>
      <c r="B40" s="19"/>
      <c r="C40" s="334"/>
      <c r="D40" s="334"/>
      <c r="E40" s="518"/>
      <c r="F40" s="318"/>
      <c r="G40" s="17"/>
      <c r="H40" s="332">
        <f t="shared" si="1"/>
        <v>30</v>
      </c>
    </row>
    <row r="41" spans="1:8" ht="16" thickBot="1">
      <c r="A41" s="332">
        <f t="shared" si="0"/>
        <v>31</v>
      </c>
      <c r="B41" s="19" t="s">
        <v>56</v>
      </c>
      <c r="C41" s="30"/>
      <c r="D41" s="30"/>
      <c r="E41" s="872">
        <f>E37*E39</f>
        <v>1556.5960359496958</v>
      </c>
      <c r="F41" s="671" t="s">
        <v>460</v>
      </c>
      <c r="G41" s="17" t="s">
        <v>491</v>
      </c>
      <c r="H41" s="332">
        <f t="shared" si="1"/>
        <v>31</v>
      </c>
    </row>
    <row r="42" spans="1:8" ht="16" thickTop="1">
      <c r="A42" s="332"/>
      <c r="B42" s="19"/>
      <c r="C42" s="30"/>
      <c r="D42" s="30"/>
      <c r="E42" s="229"/>
      <c r="F42" s="319"/>
      <c r="G42" s="17"/>
      <c r="H42" s="332"/>
    </row>
    <row r="43" spans="1:8">
      <c r="A43" s="332"/>
      <c r="B43" s="19"/>
      <c r="C43" s="22"/>
      <c r="D43" s="22"/>
      <c r="E43" s="354"/>
      <c r="F43" s="319"/>
      <c r="G43" s="17"/>
      <c r="H43" s="332"/>
    </row>
    <row r="44" spans="1:8">
      <c r="A44" s="671" t="s">
        <v>460</v>
      </c>
      <c r="B44" s="5" t="str">
        <f>'Pg2 App X C7 Comparison'!B63</f>
        <v>Items in BOLD have changed to correct the over-allocation of "Duplicate Charges (Company Energy Use)" Credit in FERC Account no. 929.</v>
      </c>
      <c r="C44" s="19"/>
      <c r="D44" s="19"/>
      <c r="E44" s="24"/>
      <c r="F44" s="24"/>
      <c r="G44" s="56"/>
      <c r="H44" s="325"/>
    </row>
    <row r="45" spans="1:8">
      <c r="A45" s="671"/>
      <c r="B45" s="5"/>
      <c r="C45" s="19"/>
      <c r="D45" s="19"/>
      <c r="E45" s="24"/>
      <c r="F45" s="24"/>
      <c r="G45" s="56"/>
      <c r="H45" s="325"/>
    </row>
    <row r="46" spans="1:8">
      <c r="A46" s="671"/>
      <c r="B46" s="5"/>
      <c r="C46" s="19"/>
      <c r="D46" s="19"/>
      <c r="E46" s="24"/>
      <c r="F46" s="24"/>
      <c r="G46" s="56"/>
      <c r="H46" s="325"/>
    </row>
    <row r="47" spans="1:8">
      <c r="B47" s="1016" t="s">
        <v>57</v>
      </c>
      <c r="C47" s="1016"/>
      <c r="D47" s="1016"/>
      <c r="E47" s="1016"/>
      <c r="F47" s="1016"/>
      <c r="G47" s="1016"/>
      <c r="H47" s="335"/>
    </row>
    <row r="48" spans="1:8">
      <c r="B48" s="1017" t="s">
        <v>32</v>
      </c>
      <c r="C48" s="1017"/>
      <c r="D48" s="1017"/>
      <c r="E48" s="1017"/>
      <c r="F48" s="1017"/>
      <c r="G48" s="1017"/>
      <c r="H48" s="334"/>
    </row>
    <row r="49" spans="1:10">
      <c r="B49" s="1017" t="s">
        <v>38</v>
      </c>
      <c r="C49" s="1017"/>
      <c r="D49" s="1017"/>
      <c r="E49" s="1017"/>
      <c r="F49" s="1017"/>
      <c r="G49" s="1017"/>
      <c r="H49" s="334"/>
    </row>
    <row r="50" spans="1:10">
      <c r="B50" s="1018" t="str">
        <f>B5</f>
        <v>Base Period &amp; True-Up Period 12 - Months Ending December 31, 2017</v>
      </c>
      <c r="C50" s="1018"/>
      <c r="D50" s="1018"/>
      <c r="E50" s="1018"/>
      <c r="F50" s="1018"/>
      <c r="G50" s="1018"/>
      <c r="H50" s="334"/>
    </row>
    <row r="51" spans="1:10">
      <c r="B51" s="1013" t="s">
        <v>1</v>
      </c>
      <c r="C51" s="1013"/>
      <c r="D51" s="1013"/>
      <c r="E51" s="1013"/>
      <c r="F51" s="1013"/>
      <c r="G51" s="1013"/>
      <c r="H51" s="111"/>
    </row>
    <row r="52" spans="1:10">
      <c r="A52" s="333"/>
      <c r="B52" s="19"/>
      <c r="C52" s="19"/>
      <c r="D52" s="19"/>
      <c r="E52" s="19"/>
      <c r="F52" s="19"/>
      <c r="G52" s="19"/>
      <c r="H52" s="325"/>
    </row>
    <row r="53" spans="1:10">
      <c r="A53" s="332" t="s">
        <v>2</v>
      </c>
      <c r="B53" s="19"/>
      <c r="C53" s="19"/>
      <c r="D53" s="19"/>
      <c r="E53" s="18"/>
      <c r="F53" s="18"/>
      <c r="G53" s="19"/>
      <c r="H53" s="332" t="s">
        <v>2</v>
      </c>
    </row>
    <row r="54" spans="1:10">
      <c r="A54" s="332" t="s">
        <v>3</v>
      </c>
      <c r="B54" s="19"/>
      <c r="C54" s="19"/>
      <c r="D54" s="19"/>
      <c r="E54" s="321" t="s">
        <v>33</v>
      </c>
      <c r="F54" s="17"/>
      <c r="G54" s="321" t="s">
        <v>5</v>
      </c>
      <c r="H54" s="332" t="s">
        <v>3</v>
      </c>
    </row>
    <row r="55" spans="1:10">
      <c r="A55" s="332"/>
      <c r="B55" s="19"/>
      <c r="C55" s="19"/>
      <c r="D55" s="19"/>
      <c r="E55" s="18"/>
      <c r="F55" s="18"/>
      <c r="G55" s="19"/>
      <c r="H55" s="332"/>
    </row>
    <row r="56" spans="1:10">
      <c r="A56" s="332">
        <v>1</v>
      </c>
      <c r="B56" s="26" t="s">
        <v>58</v>
      </c>
      <c r="C56" s="26"/>
      <c r="D56" s="26"/>
      <c r="E56" s="367">
        <v>5249985.7493453845</v>
      </c>
      <c r="F56" s="671"/>
      <c r="G56" s="17" t="s">
        <v>705</v>
      </c>
      <c r="H56" s="332">
        <f>A56</f>
        <v>1</v>
      </c>
    </row>
    <row r="57" spans="1:10">
      <c r="A57" s="332">
        <f>A56+1</f>
        <v>2</v>
      </c>
      <c r="B57" s="19"/>
      <c r="C57" s="19"/>
      <c r="D57" s="19"/>
      <c r="E57" s="330"/>
      <c r="F57" s="18"/>
      <c r="G57" s="19"/>
      <c r="H57" s="332">
        <f>H56+1</f>
        <v>2</v>
      </c>
    </row>
    <row r="58" spans="1:10">
      <c r="A58" s="332">
        <f t="shared" ref="A58:A93" si="2">A57+1</f>
        <v>3</v>
      </c>
      <c r="B58" s="21" t="s">
        <v>59</v>
      </c>
      <c r="C58" s="21"/>
      <c r="D58" s="21"/>
      <c r="E58" s="368"/>
      <c r="F58" s="27"/>
      <c r="G58" s="19"/>
      <c r="H58" s="332">
        <f t="shared" ref="H58:H93" si="3">H57+1</f>
        <v>3</v>
      </c>
    </row>
    <row r="59" spans="1:10">
      <c r="A59" s="332">
        <f t="shared" si="2"/>
        <v>4</v>
      </c>
      <c r="B59" s="22" t="s">
        <v>60</v>
      </c>
      <c r="C59" s="22"/>
      <c r="D59" s="22"/>
      <c r="E59" s="942">
        <v>30379.008430000002</v>
      </c>
      <c r="F59" s="671"/>
      <c r="G59" s="17" t="s">
        <v>706</v>
      </c>
      <c r="H59" s="332">
        <f t="shared" si="3"/>
        <v>4</v>
      </c>
      <c r="J59" s="353"/>
    </row>
    <row r="60" spans="1:10">
      <c r="A60" s="332">
        <f t="shared" si="2"/>
        <v>5</v>
      </c>
      <c r="B60" s="22"/>
      <c r="C60" s="22"/>
      <c r="D60" s="22"/>
      <c r="E60" s="198"/>
      <c r="F60" s="28"/>
      <c r="G60" s="17"/>
      <c r="H60" s="332">
        <f t="shared" si="3"/>
        <v>5</v>
      </c>
      <c r="J60" s="353"/>
    </row>
    <row r="61" spans="1:10">
      <c r="A61" s="332">
        <f t="shared" si="2"/>
        <v>6</v>
      </c>
      <c r="B61" s="22" t="s">
        <v>61</v>
      </c>
      <c r="C61" s="19"/>
      <c r="D61" s="19"/>
      <c r="E61" s="369">
        <f>E59/E56</f>
        <v>5.7864935031086383E-3</v>
      </c>
      <c r="F61" s="671"/>
      <c r="G61" s="17" t="s">
        <v>492</v>
      </c>
      <c r="H61" s="332">
        <f t="shared" si="3"/>
        <v>6</v>
      </c>
      <c r="J61" s="353"/>
    </row>
    <row r="62" spans="1:10">
      <c r="A62" s="332">
        <f t="shared" si="2"/>
        <v>7</v>
      </c>
      <c r="B62" s="22"/>
      <c r="C62" s="22"/>
      <c r="D62" s="22"/>
      <c r="E62" s="370"/>
      <c r="F62" s="29"/>
      <c r="G62" s="17"/>
      <c r="H62" s="332">
        <f t="shared" si="3"/>
        <v>7</v>
      </c>
    </row>
    <row r="63" spans="1:10">
      <c r="A63" s="332">
        <f t="shared" si="2"/>
        <v>8</v>
      </c>
      <c r="B63" s="30" t="s">
        <v>62</v>
      </c>
      <c r="C63" s="30"/>
      <c r="D63" s="30"/>
      <c r="E63" s="941">
        <v>4655.1702999999998</v>
      </c>
      <c r="F63" s="18"/>
      <c r="G63" s="17" t="s">
        <v>674</v>
      </c>
      <c r="H63" s="332">
        <f t="shared" si="3"/>
        <v>8</v>
      </c>
    </row>
    <row r="64" spans="1:10">
      <c r="A64" s="332">
        <f t="shared" si="2"/>
        <v>9</v>
      </c>
      <c r="B64" s="19"/>
      <c r="C64" s="19"/>
      <c r="D64" s="19"/>
      <c r="E64" s="371"/>
      <c r="F64" s="31"/>
      <c r="G64" s="17"/>
      <c r="H64" s="332">
        <f t="shared" si="3"/>
        <v>9</v>
      </c>
    </row>
    <row r="65" spans="1:8">
      <c r="A65" s="332">
        <f t="shared" si="2"/>
        <v>10</v>
      </c>
      <c r="B65" s="22" t="s">
        <v>63</v>
      </c>
      <c r="C65" s="19"/>
      <c r="D65" s="19"/>
      <c r="E65" s="369">
        <f>E63/E56</f>
        <v>8.8670151163371222E-4</v>
      </c>
      <c r="F65" s="79"/>
      <c r="G65" s="17" t="s">
        <v>493</v>
      </c>
      <c r="H65" s="332">
        <f t="shared" si="3"/>
        <v>10</v>
      </c>
    </row>
    <row r="66" spans="1:8">
      <c r="A66" s="332">
        <f t="shared" si="2"/>
        <v>11</v>
      </c>
      <c r="B66" s="19"/>
      <c r="C66" s="19"/>
      <c r="D66" s="19"/>
      <c r="E66" s="371"/>
      <c r="F66" s="31"/>
      <c r="G66" s="17"/>
      <c r="H66" s="332">
        <f t="shared" si="3"/>
        <v>11</v>
      </c>
    </row>
    <row r="67" spans="1:8">
      <c r="A67" s="332">
        <f t="shared" si="2"/>
        <v>12</v>
      </c>
      <c r="B67" s="26" t="s">
        <v>64</v>
      </c>
      <c r="C67" s="26"/>
      <c r="D67" s="26"/>
      <c r="E67" s="372">
        <f>E59+E63</f>
        <v>35034.17873</v>
      </c>
      <c r="F67" s="671"/>
      <c r="G67" s="17" t="s">
        <v>441</v>
      </c>
      <c r="H67" s="332">
        <f t="shared" si="3"/>
        <v>12</v>
      </c>
    </row>
    <row r="68" spans="1:8">
      <c r="A68" s="332">
        <f t="shared" si="2"/>
        <v>13</v>
      </c>
      <c r="B68" s="19"/>
      <c r="C68" s="19"/>
      <c r="D68" s="19"/>
      <c r="E68" s="373"/>
      <c r="F68" s="32"/>
      <c r="G68" s="17"/>
      <c r="H68" s="332">
        <f t="shared" si="3"/>
        <v>13</v>
      </c>
    </row>
    <row r="69" spans="1:8">
      <c r="A69" s="332">
        <f t="shared" si="2"/>
        <v>14</v>
      </c>
      <c r="B69" s="21" t="s">
        <v>65</v>
      </c>
      <c r="C69" s="21"/>
      <c r="D69" s="21"/>
      <c r="E69" s="373"/>
      <c r="F69" s="32"/>
      <c r="G69" s="20"/>
      <c r="H69" s="332">
        <f t="shared" si="3"/>
        <v>14</v>
      </c>
    </row>
    <row r="70" spans="1:8">
      <c r="A70" s="332">
        <f t="shared" si="2"/>
        <v>15</v>
      </c>
      <c r="B70" s="22" t="s">
        <v>66</v>
      </c>
      <c r="C70" s="22"/>
      <c r="D70" s="22"/>
      <c r="E70" s="858">
        <f>'Pg9 Rev Stmt AH'!F49</f>
        <v>31993.644043210028</v>
      </c>
      <c r="F70" s="671" t="s">
        <v>460</v>
      </c>
      <c r="G70" s="17" t="s">
        <v>774</v>
      </c>
      <c r="H70" s="332">
        <f t="shared" si="3"/>
        <v>15</v>
      </c>
    </row>
    <row r="71" spans="1:8">
      <c r="A71" s="332">
        <f t="shared" si="2"/>
        <v>16</v>
      </c>
      <c r="B71" s="19"/>
      <c r="C71" s="19"/>
      <c r="D71" s="19"/>
      <c r="E71" s="374"/>
      <c r="F71" s="33"/>
      <c r="G71" s="17"/>
      <c r="H71" s="332">
        <f t="shared" si="3"/>
        <v>16</v>
      </c>
    </row>
    <row r="72" spans="1:8">
      <c r="A72" s="332">
        <f t="shared" si="2"/>
        <v>17</v>
      </c>
      <c r="B72" s="351" t="s">
        <v>67</v>
      </c>
      <c r="C72" s="20"/>
      <c r="D72" s="20"/>
      <c r="E72" s="369">
        <f>E70/E56</f>
        <v>6.0940439785382812E-3</v>
      </c>
      <c r="F72" s="79"/>
      <c r="G72" s="17" t="s">
        <v>494</v>
      </c>
      <c r="H72" s="332">
        <f t="shared" si="3"/>
        <v>17</v>
      </c>
    </row>
    <row r="73" spans="1:8">
      <c r="A73" s="332">
        <f t="shared" si="2"/>
        <v>18</v>
      </c>
      <c r="B73" s="20"/>
      <c r="C73" s="20"/>
      <c r="D73" s="20"/>
      <c r="E73" s="375"/>
      <c r="F73" s="34"/>
      <c r="G73" s="17"/>
      <c r="H73" s="332">
        <f t="shared" si="3"/>
        <v>18</v>
      </c>
    </row>
    <row r="74" spans="1:8">
      <c r="A74" s="332">
        <f t="shared" si="2"/>
        <v>19</v>
      </c>
      <c r="B74" s="21" t="s">
        <v>68</v>
      </c>
      <c r="C74" s="21"/>
      <c r="D74" s="21"/>
      <c r="E74" s="375"/>
      <c r="F74" s="34"/>
      <c r="G74" s="17"/>
      <c r="H74" s="332">
        <f t="shared" si="3"/>
        <v>19</v>
      </c>
    </row>
    <row r="75" spans="1:8">
      <c r="A75" s="332">
        <f t="shared" si="2"/>
        <v>20</v>
      </c>
      <c r="B75" s="22" t="s">
        <v>69</v>
      </c>
      <c r="C75" s="22"/>
      <c r="D75" s="22"/>
      <c r="E75" s="519">
        <v>1441.8693798221736</v>
      </c>
      <c r="F75" s="18"/>
      <c r="G75" s="17" t="s">
        <v>495</v>
      </c>
      <c r="H75" s="332">
        <f t="shared" si="3"/>
        <v>20</v>
      </c>
    </row>
    <row r="76" spans="1:8">
      <c r="A76" s="332">
        <f t="shared" si="2"/>
        <v>21</v>
      </c>
      <c r="B76" s="20"/>
      <c r="C76" s="20"/>
      <c r="D76" s="20"/>
      <c r="E76" s="375"/>
      <c r="F76" s="34"/>
      <c r="G76" s="17"/>
      <c r="H76" s="332">
        <f t="shared" si="3"/>
        <v>21</v>
      </c>
    </row>
    <row r="77" spans="1:8">
      <c r="A77" s="332">
        <f t="shared" si="2"/>
        <v>22</v>
      </c>
      <c r="B77" s="351" t="s">
        <v>70</v>
      </c>
      <c r="C77" s="20"/>
      <c r="D77" s="20"/>
      <c r="E77" s="369">
        <f>E75/E56</f>
        <v>2.7464253212534126E-4</v>
      </c>
      <c r="F77" s="79"/>
      <c r="G77" s="17" t="s">
        <v>496</v>
      </c>
      <c r="H77" s="332">
        <f t="shared" si="3"/>
        <v>22</v>
      </c>
    </row>
    <row r="78" spans="1:8">
      <c r="A78" s="332">
        <f t="shared" si="2"/>
        <v>23</v>
      </c>
      <c r="B78" s="20"/>
      <c r="C78" s="20"/>
      <c r="D78" s="20"/>
      <c r="E78" s="375"/>
      <c r="F78" s="34"/>
      <c r="G78" s="17"/>
      <c r="H78" s="332">
        <f t="shared" si="3"/>
        <v>23</v>
      </c>
    </row>
    <row r="79" spans="1:8">
      <c r="A79" s="332">
        <f t="shared" si="2"/>
        <v>24</v>
      </c>
      <c r="B79" s="21" t="s">
        <v>71</v>
      </c>
      <c r="C79" s="21"/>
      <c r="D79" s="21"/>
      <c r="E79" s="375"/>
      <c r="F79" s="34"/>
      <c r="G79" s="17"/>
      <c r="H79" s="332">
        <f t="shared" si="3"/>
        <v>24</v>
      </c>
    </row>
    <row r="80" spans="1:8">
      <c r="A80" s="332">
        <f t="shared" si="2"/>
        <v>25</v>
      </c>
      <c r="B80" s="22" t="s">
        <v>72</v>
      </c>
      <c r="C80" s="19"/>
      <c r="D80" s="19"/>
      <c r="E80" s="376">
        <f>E125</f>
        <v>3.7280226056417248E-3</v>
      </c>
      <c r="F80" s="79"/>
      <c r="G80" s="17" t="s">
        <v>497</v>
      </c>
      <c r="H80" s="332">
        <f t="shared" si="3"/>
        <v>25</v>
      </c>
    </row>
    <row r="81" spans="1:8">
      <c r="A81" s="332">
        <f t="shared" si="2"/>
        <v>26</v>
      </c>
      <c r="B81" s="19"/>
      <c r="C81" s="19"/>
      <c r="D81" s="19"/>
      <c r="E81" s="377"/>
      <c r="F81" s="35"/>
      <c r="G81" s="17"/>
      <c r="H81" s="332">
        <f t="shared" si="3"/>
        <v>26</v>
      </c>
    </row>
    <row r="82" spans="1:8">
      <c r="A82" s="332">
        <f t="shared" si="2"/>
        <v>27</v>
      </c>
      <c r="B82" s="21" t="s">
        <v>73</v>
      </c>
      <c r="C82" s="21"/>
      <c r="D82" s="21"/>
      <c r="E82" s="377"/>
      <c r="F82" s="35"/>
      <c r="G82" s="17"/>
      <c r="H82" s="332">
        <f t="shared" si="3"/>
        <v>27</v>
      </c>
    </row>
    <row r="83" spans="1:8">
      <c r="A83" s="332">
        <f t="shared" si="2"/>
        <v>28</v>
      </c>
      <c r="B83" s="352" t="s">
        <v>74</v>
      </c>
      <c r="C83" s="19"/>
      <c r="D83" s="19"/>
      <c r="E83" s="377"/>
      <c r="F83" s="35"/>
      <c r="G83" s="17"/>
      <c r="H83" s="332">
        <f t="shared" si="3"/>
        <v>28</v>
      </c>
    </row>
    <row r="84" spans="1:8">
      <c r="A84" s="332">
        <f t="shared" si="2"/>
        <v>29</v>
      </c>
      <c r="B84" s="22" t="s">
        <v>75</v>
      </c>
      <c r="C84" s="22"/>
      <c r="D84" s="22"/>
      <c r="E84" s="378">
        <v>46125.610034466292</v>
      </c>
      <c r="F84" s="671"/>
      <c r="G84" s="17" t="s">
        <v>776</v>
      </c>
      <c r="H84" s="332">
        <f t="shared" si="3"/>
        <v>29</v>
      </c>
    </row>
    <row r="85" spans="1:8">
      <c r="A85" s="332">
        <f t="shared" si="2"/>
        <v>30</v>
      </c>
      <c r="B85" s="22" t="s">
        <v>76</v>
      </c>
      <c r="C85" s="22"/>
      <c r="D85" s="22"/>
      <c r="E85" s="379">
        <v>17171.110417166059</v>
      </c>
      <c r="F85" s="671"/>
      <c r="G85" s="17" t="s">
        <v>777</v>
      </c>
      <c r="H85" s="332">
        <f t="shared" si="3"/>
        <v>30</v>
      </c>
    </row>
    <row r="86" spans="1:8">
      <c r="A86" s="332">
        <f t="shared" si="2"/>
        <v>31</v>
      </c>
      <c r="B86" s="22" t="s">
        <v>77</v>
      </c>
      <c r="C86" s="22"/>
      <c r="D86" s="22"/>
      <c r="E86" s="860">
        <f>'Pg10 Rev Stmt AL'!E29</f>
        <v>8378.4778466512544</v>
      </c>
      <c r="F86" s="671" t="s">
        <v>460</v>
      </c>
      <c r="G86" s="17" t="s">
        <v>775</v>
      </c>
      <c r="H86" s="332">
        <f t="shared" si="3"/>
        <v>31</v>
      </c>
    </row>
    <row r="87" spans="1:8">
      <c r="A87" s="332">
        <f t="shared" si="2"/>
        <v>32</v>
      </c>
      <c r="B87" s="22" t="s">
        <v>78</v>
      </c>
      <c r="C87" s="19"/>
      <c r="D87" s="19"/>
      <c r="E87" s="861">
        <f>SUM(E84:E86)</f>
        <v>71675.198298283605</v>
      </c>
      <c r="F87" s="671" t="s">
        <v>460</v>
      </c>
      <c r="G87" s="17" t="s">
        <v>498</v>
      </c>
      <c r="H87" s="332">
        <f t="shared" si="3"/>
        <v>32</v>
      </c>
    </row>
    <row r="88" spans="1:8">
      <c r="A88" s="332">
        <f t="shared" si="2"/>
        <v>33</v>
      </c>
      <c r="B88" s="19"/>
      <c r="C88" s="19"/>
      <c r="D88" s="19"/>
      <c r="E88" s="380"/>
      <c r="F88" s="36"/>
      <c r="G88" s="17"/>
      <c r="H88" s="332">
        <f t="shared" si="3"/>
        <v>33</v>
      </c>
    </row>
    <row r="89" spans="1:8">
      <c r="A89" s="332">
        <f t="shared" si="2"/>
        <v>34</v>
      </c>
      <c r="B89" s="22" t="s">
        <v>35</v>
      </c>
      <c r="C89" s="22"/>
      <c r="D89" s="22"/>
      <c r="E89" s="381">
        <f>'Pg12 As Filed Stmt AV FERC Adj'!G113</f>
        <v>9.635088218301012E-2</v>
      </c>
      <c r="F89" s="671"/>
      <c r="G89" s="17" t="s">
        <v>778</v>
      </c>
      <c r="H89" s="332">
        <f t="shared" si="3"/>
        <v>34</v>
      </c>
    </row>
    <row r="90" spans="1:8">
      <c r="A90" s="332">
        <f t="shared" si="2"/>
        <v>35</v>
      </c>
      <c r="B90" s="19"/>
      <c r="C90" s="19"/>
      <c r="D90" s="19"/>
      <c r="E90" s="380"/>
      <c r="F90" s="36"/>
      <c r="G90" s="17"/>
      <c r="H90" s="332">
        <f t="shared" si="3"/>
        <v>35</v>
      </c>
    </row>
    <row r="91" spans="1:8">
      <c r="A91" s="332">
        <f t="shared" si="2"/>
        <v>36</v>
      </c>
      <c r="B91" s="22" t="s">
        <v>79</v>
      </c>
      <c r="C91" s="19"/>
      <c r="D91" s="19"/>
      <c r="E91" s="874">
        <f>E87*E89</f>
        <v>6905.9685866818108</v>
      </c>
      <c r="F91" s="671" t="s">
        <v>460</v>
      </c>
      <c r="G91" s="17" t="s">
        <v>413</v>
      </c>
      <c r="H91" s="332">
        <f t="shared" si="3"/>
        <v>36</v>
      </c>
    </row>
    <row r="92" spans="1:8">
      <c r="A92" s="332">
        <f t="shared" si="2"/>
        <v>37</v>
      </c>
      <c r="B92" s="19"/>
      <c r="C92" s="19"/>
      <c r="D92" s="19"/>
      <c r="E92" s="380"/>
      <c r="F92" s="36"/>
      <c r="G92" s="17"/>
      <c r="H92" s="332">
        <f t="shared" si="3"/>
        <v>37</v>
      </c>
    </row>
    <row r="93" spans="1:8">
      <c r="A93" s="332">
        <f t="shared" si="2"/>
        <v>38</v>
      </c>
      <c r="B93" s="22" t="s">
        <v>80</v>
      </c>
      <c r="C93" s="19"/>
      <c r="D93" s="19"/>
      <c r="E93" s="369">
        <f>E91/E56</f>
        <v>1.3154261585458416E-3</v>
      </c>
      <c r="F93" s="79"/>
      <c r="G93" s="17" t="s">
        <v>499</v>
      </c>
      <c r="H93" s="332">
        <f t="shared" si="3"/>
        <v>38</v>
      </c>
    </row>
    <row r="94" spans="1:8">
      <c r="A94" s="332"/>
      <c r="B94" s="22"/>
      <c r="C94" s="19"/>
      <c r="D94" s="19"/>
      <c r="E94" s="369"/>
      <c r="F94" s="79"/>
      <c r="G94" s="17"/>
      <c r="H94" s="332"/>
    </row>
    <row r="95" spans="1:8">
      <c r="A95" s="332"/>
      <c r="B95" s="22"/>
      <c r="C95" s="19"/>
      <c r="D95" s="19"/>
      <c r="E95" s="350"/>
      <c r="F95" s="79"/>
      <c r="G95" s="17"/>
      <c r="H95" s="332"/>
    </row>
    <row r="96" spans="1:8">
      <c r="A96" s="671" t="s">
        <v>460</v>
      </c>
      <c r="B96" s="5" t="str">
        <f>'Pg3 Rev App X C7 Summary'!B60</f>
        <v>Items in BOLD have changed to correct the over-allocation of "Duplicate Charges (Company Energy Use)" Credit in FERC Account no. 929.</v>
      </c>
      <c r="C96" s="19"/>
      <c r="D96" s="19"/>
      <c r="E96" s="56"/>
      <c r="F96" s="56"/>
      <c r="G96" s="56"/>
      <c r="H96" s="330"/>
    </row>
    <row r="97" spans="1:8">
      <c r="A97" s="671"/>
      <c r="B97" s="5"/>
      <c r="C97" s="19"/>
      <c r="D97" s="19"/>
      <c r="E97" s="56"/>
      <c r="F97" s="56"/>
      <c r="G97" s="56"/>
      <c r="H97" s="330"/>
    </row>
    <row r="98" spans="1:8">
      <c r="A98" s="671"/>
      <c r="B98" s="5"/>
      <c r="C98" s="19"/>
      <c r="D98" s="19"/>
      <c r="E98" s="56"/>
      <c r="F98" s="56"/>
      <c r="G98" s="56"/>
      <c r="H98" s="330"/>
    </row>
    <row r="99" spans="1:8">
      <c r="B99" s="1017" t="s">
        <v>57</v>
      </c>
      <c r="C99" s="1017"/>
      <c r="D99" s="1017"/>
      <c r="E99" s="1017"/>
      <c r="F99" s="1017"/>
      <c r="G99" s="1017"/>
      <c r="H99" s="334"/>
    </row>
    <row r="100" spans="1:8">
      <c r="B100" s="1017" t="s">
        <v>32</v>
      </c>
      <c r="C100" s="1017"/>
      <c r="D100" s="1017"/>
      <c r="E100" s="1017"/>
      <c r="F100" s="1017"/>
      <c r="G100" s="1017"/>
      <c r="H100" s="334"/>
    </row>
    <row r="101" spans="1:8">
      <c r="B101" s="1017" t="s">
        <v>38</v>
      </c>
      <c r="C101" s="1017"/>
      <c r="D101" s="1017"/>
      <c r="E101" s="1017"/>
      <c r="F101" s="1017"/>
      <c r="G101" s="1017"/>
      <c r="H101" s="334"/>
    </row>
    <row r="102" spans="1:8">
      <c r="B102" s="1018" t="str">
        <f>B5</f>
        <v>Base Period &amp; True-Up Period 12 - Months Ending December 31, 2017</v>
      </c>
      <c r="C102" s="1018"/>
      <c r="D102" s="1018"/>
      <c r="E102" s="1018"/>
      <c r="F102" s="1018"/>
      <c r="G102" s="1018"/>
      <c r="H102" s="334"/>
    </row>
    <row r="103" spans="1:8">
      <c r="B103" s="1013" t="s">
        <v>1</v>
      </c>
      <c r="C103" s="1013"/>
      <c r="D103" s="1013"/>
      <c r="E103" s="1013"/>
      <c r="F103" s="1013"/>
      <c r="G103" s="1013"/>
      <c r="H103" s="111"/>
    </row>
    <row r="104" spans="1:8">
      <c r="A104" s="331"/>
      <c r="B104" s="52"/>
      <c r="C104" s="52"/>
      <c r="D104" s="52"/>
      <c r="E104" s="19"/>
      <c r="F104" s="19"/>
      <c r="G104" s="56"/>
      <c r="H104" s="325"/>
    </row>
    <row r="105" spans="1:8">
      <c r="A105" s="332" t="s">
        <v>2</v>
      </c>
      <c r="B105" s="19"/>
      <c r="C105" s="19"/>
      <c r="D105" s="19"/>
      <c r="E105" s="18"/>
      <c r="F105" s="18"/>
      <c r="G105" s="19"/>
      <c r="H105" s="332" t="s">
        <v>2</v>
      </c>
    </row>
    <row r="106" spans="1:8">
      <c r="A106" s="332" t="s">
        <v>3</v>
      </c>
      <c r="B106" s="19"/>
      <c r="C106" s="19"/>
      <c r="D106" s="19"/>
      <c r="E106" s="321" t="s">
        <v>33</v>
      </c>
      <c r="F106" s="17"/>
      <c r="G106" s="321" t="s">
        <v>5</v>
      </c>
      <c r="H106" s="332" t="s">
        <v>3</v>
      </c>
    </row>
    <row r="107" spans="1:8">
      <c r="A107" s="332"/>
      <c r="B107" s="19"/>
      <c r="C107" s="19"/>
      <c r="D107" s="19"/>
      <c r="E107" s="18"/>
      <c r="F107" s="18"/>
      <c r="G107" s="520"/>
      <c r="H107" s="332"/>
    </row>
    <row r="108" spans="1:8">
      <c r="A108" s="332">
        <v>1</v>
      </c>
      <c r="B108" s="21" t="s">
        <v>81</v>
      </c>
      <c r="C108" s="21"/>
      <c r="D108" s="21"/>
      <c r="E108" s="56"/>
      <c r="F108" s="56"/>
      <c r="G108" s="19"/>
      <c r="H108" s="332">
        <f>A108</f>
        <v>1</v>
      </c>
    </row>
    <row r="109" spans="1:8">
      <c r="A109" s="332">
        <f>A108+1</f>
        <v>2</v>
      </c>
      <c r="B109" s="22" t="s">
        <v>82</v>
      </c>
      <c r="C109" s="22"/>
      <c r="D109" s="22"/>
      <c r="E109" s="382">
        <v>791935.35630818945</v>
      </c>
      <c r="F109" s="671"/>
      <c r="G109" s="17" t="s">
        <v>712</v>
      </c>
      <c r="H109" s="332">
        <f>H108+1</f>
        <v>2</v>
      </c>
    </row>
    <row r="110" spans="1:8">
      <c r="A110" s="332">
        <f t="shared" ref="A110:A165" si="4">A109+1</f>
        <v>3</v>
      </c>
      <c r="B110" s="22"/>
      <c r="C110" s="22"/>
      <c r="D110" s="22"/>
      <c r="E110" s="331"/>
      <c r="F110" s="18"/>
      <c r="G110" s="17"/>
      <c r="H110" s="332">
        <f t="shared" ref="H110:H165" si="5">H109+1</f>
        <v>3</v>
      </c>
    </row>
    <row r="111" spans="1:8">
      <c r="A111" s="332">
        <f t="shared" si="4"/>
        <v>4</v>
      </c>
      <c r="B111" s="22" t="s">
        <v>83</v>
      </c>
      <c r="C111" s="22"/>
      <c r="D111" s="22"/>
      <c r="E111" s="383">
        <v>361309.36050350004</v>
      </c>
      <c r="F111" s="671"/>
      <c r="G111" s="17" t="s">
        <v>713</v>
      </c>
      <c r="H111" s="332">
        <f t="shared" si="5"/>
        <v>4</v>
      </c>
    </row>
    <row r="112" spans="1:8" ht="18">
      <c r="A112" s="332">
        <f t="shared" si="4"/>
        <v>5</v>
      </c>
      <c r="B112" s="19"/>
      <c r="C112" s="19"/>
      <c r="D112" s="19"/>
      <c r="E112" s="943"/>
      <c r="F112" s="37"/>
      <c r="G112" s="19"/>
      <c r="H112" s="332">
        <f t="shared" si="5"/>
        <v>5</v>
      </c>
    </row>
    <row r="113" spans="1:8">
      <c r="A113" s="332">
        <f t="shared" si="4"/>
        <v>6</v>
      </c>
      <c r="B113" s="22" t="s">
        <v>84</v>
      </c>
      <c r="C113" s="19"/>
      <c r="D113" s="19"/>
      <c r="E113" s="385">
        <f>E109+E111</f>
        <v>1153244.7168116895</v>
      </c>
      <c r="F113" s="671"/>
      <c r="G113" s="17" t="s">
        <v>500</v>
      </c>
      <c r="H113" s="332">
        <f t="shared" si="5"/>
        <v>6</v>
      </c>
    </row>
    <row r="114" spans="1:8">
      <c r="A114" s="332">
        <f t="shared" si="4"/>
        <v>7</v>
      </c>
      <c r="B114" s="19"/>
      <c r="C114" s="19"/>
      <c r="D114" s="19"/>
      <c r="E114" s="386"/>
      <c r="F114" s="38"/>
      <c r="G114" s="19"/>
      <c r="H114" s="332">
        <f t="shared" si="5"/>
        <v>7</v>
      </c>
    </row>
    <row r="115" spans="1:8">
      <c r="A115" s="332">
        <f t="shared" si="4"/>
        <v>8</v>
      </c>
      <c r="B115" s="22" t="s">
        <v>85</v>
      </c>
      <c r="C115" s="22"/>
      <c r="D115" s="22"/>
      <c r="E115" s="387">
        <f>E144</f>
        <v>0.16474909674745464</v>
      </c>
      <c r="F115" s="671"/>
      <c r="G115" s="17" t="s">
        <v>501</v>
      </c>
      <c r="H115" s="332">
        <f t="shared" si="5"/>
        <v>8</v>
      </c>
    </row>
    <row r="116" spans="1:8">
      <c r="A116" s="332">
        <f t="shared" si="4"/>
        <v>9</v>
      </c>
      <c r="B116" s="19"/>
      <c r="C116" s="19"/>
      <c r="D116" s="19"/>
      <c r="E116" s="388"/>
      <c r="F116" s="39"/>
      <c r="G116" s="19"/>
      <c r="H116" s="332">
        <f t="shared" si="5"/>
        <v>9</v>
      </c>
    </row>
    <row r="117" spans="1:8">
      <c r="A117" s="332">
        <f t="shared" si="4"/>
        <v>10</v>
      </c>
      <c r="B117" s="22" t="s">
        <v>86</v>
      </c>
      <c r="C117" s="19"/>
      <c r="D117" s="19"/>
      <c r="E117" s="389">
        <f>E113*E115</f>
        <v>189996.02542349996</v>
      </c>
      <c r="F117" s="671"/>
      <c r="G117" s="17" t="s">
        <v>502</v>
      </c>
      <c r="H117" s="332">
        <f t="shared" si="5"/>
        <v>10</v>
      </c>
    </row>
    <row r="118" spans="1:8">
      <c r="A118" s="332">
        <f t="shared" si="4"/>
        <v>11</v>
      </c>
      <c r="B118" s="19"/>
      <c r="C118" s="19"/>
      <c r="D118" s="19"/>
      <c r="E118" s="386"/>
      <c r="F118" s="38"/>
      <c r="G118" s="19"/>
      <c r="H118" s="332">
        <f t="shared" si="5"/>
        <v>11</v>
      </c>
    </row>
    <row r="119" spans="1:8">
      <c r="A119" s="332">
        <f t="shared" si="4"/>
        <v>12</v>
      </c>
      <c r="B119" s="40" t="s">
        <v>87</v>
      </c>
      <c r="C119" s="40"/>
      <c r="D119" s="40"/>
      <c r="E119" s="390">
        <v>0.10301302624215687</v>
      </c>
      <c r="F119" s="18"/>
      <c r="G119" s="17" t="s">
        <v>503</v>
      </c>
      <c r="H119" s="332">
        <f t="shared" si="5"/>
        <v>12</v>
      </c>
    </row>
    <row r="120" spans="1:8">
      <c r="A120" s="332">
        <f t="shared" si="4"/>
        <v>13</v>
      </c>
      <c r="B120" s="19"/>
      <c r="C120" s="19"/>
      <c r="D120" s="19"/>
      <c r="E120" s="388"/>
      <c r="F120" s="39"/>
      <c r="G120" s="17"/>
      <c r="H120" s="332">
        <f t="shared" si="5"/>
        <v>13</v>
      </c>
    </row>
    <row r="121" spans="1:8">
      <c r="A121" s="332">
        <f t="shared" si="4"/>
        <v>14</v>
      </c>
      <c r="B121" s="22" t="s">
        <v>88</v>
      </c>
      <c r="C121" s="19"/>
      <c r="D121" s="19"/>
      <c r="E121" s="391">
        <f>E117*E119</f>
        <v>19572.065552856504</v>
      </c>
      <c r="F121" s="671"/>
      <c r="G121" s="17" t="s">
        <v>504</v>
      </c>
      <c r="H121" s="332">
        <f t="shared" si="5"/>
        <v>14</v>
      </c>
    </row>
    <row r="122" spans="1:8">
      <c r="A122" s="332">
        <f t="shared" si="4"/>
        <v>15</v>
      </c>
      <c r="B122" s="19"/>
      <c r="C122" s="19"/>
      <c r="D122" s="19"/>
      <c r="E122" s="331"/>
      <c r="F122" s="56"/>
      <c r="G122" s="19"/>
      <c r="H122" s="332">
        <f t="shared" si="5"/>
        <v>15</v>
      </c>
    </row>
    <row r="123" spans="1:8">
      <c r="A123" s="332">
        <f t="shared" si="4"/>
        <v>16</v>
      </c>
      <c r="B123" s="22" t="s">
        <v>58</v>
      </c>
      <c r="C123" s="22"/>
      <c r="D123" s="22"/>
      <c r="E123" s="392">
        <v>5249985.7493453845</v>
      </c>
      <c r="F123" s="671"/>
      <c r="G123" s="17" t="s">
        <v>705</v>
      </c>
      <c r="H123" s="332">
        <f t="shared" si="5"/>
        <v>16</v>
      </c>
    </row>
    <row r="124" spans="1:8">
      <c r="A124" s="332">
        <f t="shared" si="4"/>
        <v>17</v>
      </c>
      <c r="B124" s="19"/>
      <c r="C124" s="19"/>
      <c r="D124" s="19"/>
      <c r="E124" s="521"/>
      <c r="F124" s="19"/>
      <c r="G124" s="19"/>
      <c r="H124" s="332">
        <f t="shared" si="5"/>
        <v>17</v>
      </c>
    </row>
    <row r="125" spans="1:8" ht="16" thickBot="1">
      <c r="A125" s="332">
        <f t="shared" si="4"/>
        <v>18</v>
      </c>
      <c r="B125" s="19" t="s">
        <v>89</v>
      </c>
      <c r="C125" s="19"/>
      <c r="D125" s="19"/>
      <c r="E125" s="522">
        <f>E121/E123</f>
        <v>3.7280226056417248E-3</v>
      </c>
      <c r="F125" s="79"/>
      <c r="G125" s="17" t="s">
        <v>505</v>
      </c>
      <c r="H125" s="332">
        <f t="shared" si="5"/>
        <v>18</v>
      </c>
    </row>
    <row r="126" spans="1:8" ht="16" thickTop="1">
      <c r="A126" s="332">
        <f t="shared" si="4"/>
        <v>19</v>
      </c>
      <c r="B126" s="19"/>
      <c r="C126" s="19"/>
      <c r="D126" s="19"/>
      <c r="E126" s="331"/>
      <c r="F126" s="56"/>
      <c r="G126" s="19"/>
      <c r="H126" s="332">
        <f t="shared" si="5"/>
        <v>19</v>
      </c>
    </row>
    <row r="127" spans="1:8">
      <c r="A127" s="332">
        <f t="shared" si="4"/>
        <v>20</v>
      </c>
      <c r="B127" s="41" t="s">
        <v>90</v>
      </c>
      <c r="C127" s="41"/>
      <c r="D127" s="41"/>
      <c r="E127" s="330"/>
      <c r="F127" s="18"/>
      <c r="G127" s="18"/>
      <c r="H127" s="332">
        <f t="shared" si="5"/>
        <v>20</v>
      </c>
    </row>
    <row r="128" spans="1:8">
      <c r="A128" s="332">
        <f t="shared" si="4"/>
        <v>21</v>
      </c>
      <c r="B128" s="22" t="s">
        <v>91</v>
      </c>
      <c r="C128" s="22"/>
      <c r="D128" s="22"/>
      <c r="E128" s="393">
        <v>0</v>
      </c>
      <c r="F128" s="18"/>
      <c r="G128" s="17" t="s">
        <v>92</v>
      </c>
      <c r="H128" s="332">
        <f t="shared" si="5"/>
        <v>21</v>
      </c>
    </row>
    <row r="129" spans="1:8">
      <c r="A129" s="332">
        <f t="shared" si="4"/>
        <v>22</v>
      </c>
      <c r="B129" s="19"/>
      <c r="C129" s="19"/>
      <c r="D129" s="19"/>
      <c r="E129" s="330"/>
      <c r="F129" s="18"/>
      <c r="G129" s="17"/>
      <c r="H129" s="332">
        <f t="shared" si="5"/>
        <v>22</v>
      </c>
    </row>
    <row r="130" spans="1:8">
      <c r="A130" s="332">
        <f t="shared" si="4"/>
        <v>23</v>
      </c>
      <c r="B130" s="22" t="s">
        <v>93</v>
      </c>
      <c r="C130" s="22"/>
      <c r="D130" s="22"/>
      <c r="E130" s="393">
        <v>0</v>
      </c>
      <c r="F130" s="18"/>
      <c r="G130" s="17" t="s">
        <v>94</v>
      </c>
      <c r="H130" s="332">
        <f t="shared" si="5"/>
        <v>23</v>
      </c>
    </row>
    <row r="131" spans="1:8">
      <c r="A131" s="332">
        <f t="shared" si="4"/>
        <v>24</v>
      </c>
      <c r="B131" s="19"/>
      <c r="C131" s="19"/>
      <c r="D131" s="19"/>
      <c r="E131" s="330"/>
      <c r="F131" s="18"/>
      <c r="G131" s="17"/>
      <c r="H131" s="332">
        <f t="shared" si="5"/>
        <v>24</v>
      </c>
    </row>
    <row r="132" spans="1:8">
      <c r="A132" s="332">
        <f t="shared" si="4"/>
        <v>25</v>
      </c>
      <c r="B132" s="22" t="s">
        <v>95</v>
      </c>
      <c r="C132" s="22"/>
      <c r="D132" s="22"/>
      <c r="E132" s="393">
        <v>0</v>
      </c>
      <c r="F132" s="18"/>
      <c r="G132" s="17" t="s">
        <v>92</v>
      </c>
      <c r="H132" s="332">
        <f t="shared" si="5"/>
        <v>25</v>
      </c>
    </row>
    <row r="133" spans="1:8">
      <c r="A133" s="332">
        <f t="shared" si="4"/>
        <v>26</v>
      </c>
      <c r="B133" s="19"/>
      <c r="C133" s="19"/>
      <c r="D133" s="19"/>
      <c r="E133" s="330"/>
      <c r="F133" s="18"/>
      <c r="G133" s="19"/>
      <c r="H133" s="332">
        <f t="shared" si="5"/>
        <v>26</v>
      </c>
    </row>
    <row r="134" spans="1:8">
      <c r="A134" s="332">
        <f t="shared" si="4"/>
        <v>27</v>
      </c>
      <c r="B134" s="22" t="s">
        <v>96</v>
      </c>
      <c r="C134" s="22"/>
      <c r="D134" s="22"/>
      <c r="E134" s="394">
        <f>E153</f>
        <v>6.8398214564444518E-2</v>
      </c>
      <c r="F134" s="671"/>
      <c r="G134" s="17" t="s">
        <v>506</v>
      </c>
      <c r="H134" s="332">
        <f t="shared" si="5"/>
        <v>27</v>
      </c>
    </row>
    <row r="135" spans="1:8">
      <c r="A135" s="332">
        <f t="shared" si="4"/>
        <v>28</v>
      </c>
      <c r="B135" s="22"/>
      <c r="C135" s="22"/>
      <c r="D135" s="22"/>
      <c r="E135" s="330"/>
      <c r="F135" s="18"/>
      <c r="G135" s="19"/>
      <c r="H135" s="332">
        <f t="shared" si="5"/>
        <v>28</v>
      </c>
    </row>
    <row r="136" spans="1:8" ht="18.5">
      <c r="A136" s="332">
        <f t="shared" si="4"/>
        <v>29</v>
      </c>
      <c r="B136" s="22" t="s">
        <v>97</v>
      </c>
      <c r="C136" s="22"/>
      <c r="D136" s="22"/>
      <c r="E136" s="356">
        <f>'Pg12 As Filed Stmt AV FERC Adj'!G109</f>
        <v>2.2000934949959809E-2</v>
      </c>
      <c r="F136" s="18"/>
      <c r="G136" s="17" t="s">
        <v>714</v>
      </c>
      <c r="H136" s="332">
        <f t="shared" si="5"/>
        <v>29</v>
      </c>
    </row>
    <row r="137" spans="1:8">
      <c r="A137" s="332">
        <f t="shared" si="4"/>
        <v>30</v>
      </c>
      <c r="B137" s="22"/>
      <c r="C137" s="22"/>
      <c r="D137" s="22"/>
      <c r="E137" s="395"/>
      <c r="F137" s="42"/>
      <c r="G137" s="19"/>
      <c r="H137" s="332">
        <f t="shared" si="5"/>
        <v>30</v>
      </c>
    </row>
    <row r="138" spans="1:8">
      <c r="A138" s="332">
        <f t="shared" si="4"/>
        <v>31</v>
      </c>
      <c r="B138" s="22" t="s">
        <v>98</v>
      </c>
      <c r="C138" s="22"/>
      <c r="D138" s="22"/>
      <c r="E138" s="356">
        <f>'Pg12 As Filed Stmt AV FERC Adj'!G111</f>
        <v>7.4349947233050315E-2</v>
      </c>
      <c r="F138" s="18"/>
      <c r="G138" s="17" t="s">
        <v>715</v>
      </c>
      <c r="H138" s="332">
        <f t="shared" si="5"/>
        <v>31</v>
      </c>
    </row>
    <row r="139" spans="1:8">
      <c r="A139" s="332">
        <f t="shared" si="4"/>
        <v>32</v>
      </c>
      <c r="B139" s="22"/>
      <c r="C139" s="22"/>
      <c r="D139" s="22"/>
      <c r="E139" s="395"/>
      <c r="F139" s="42"/>
      <c r="G139" s="19"/>
      <c r="H139" s="332">
        <f t="shared" si="5"/>
        <v>32</v>
      </c>
    </row>
    <row r="140" spans="1:8">
      <c r="A140" s="332">
        <f t="shared" si="4"/>
        <v>33</v>
      </c>
      <c r="B140" s="22" t="s">
        <v>99</v>
      </c>
      <c r="C140" s="22"/>
      <c r="D140" s="22"/>
      <c r="E140" s="393">
        <v>0</v>
      </c>
      <c r="F140" s="18"/>
      <c r="G140" s="17" t="s">
        <v>100</v>
      </c>
      <c r="H140" s="332">
        <f t="shared" si="5"/>
        <v>33</v>
      </c>
    </row>
    <row r="141" spans="1:8">
      <c r="A141" s="332">
        <f t="shared" si="4"/>
        <v>34</v>
      </c>
      <c r="B141" s="43"/>
      <c r="C141" s="43"/>
      <c r="D141" s="43"/>
      <c r="E141" s="330"/>
      <c r="F141" s="18"/>
      <c r="G141" s="19"/>
      <c r="H141" s="332">
        <f t="shared" si="5"/>
        <v>34</v>
      </c>
    </row>
    <row r="142" spans="1:8">
      <c r="A142" s="332">
        <f t="shared" si="4"/>
        <v>35</v>
      </c>
      <c r="B142" s="22" t="s">
        <v>101</v>
      </c>
      <c r="C142" s="22"/>
      <c r="D142" s="22"/>
      <c r="E142" s="363">
        <f>E165</f>
        <v>0</v>
      </c>
      <c r="F142" s="311"/>
      <c r="G142" s="17" t="s">
        <v>507</v>
      </c>
      <c r="H142" s="332">
        <f t="shared" si="5"/>
        <v>35</v>
      </c>
    </row>
    <row r="143" spans="1:8">
      <c r="A143" s="332">
        <f t="shared" si="4"/>
        <v>36</v>
      </c>
      <c r="B143" s="19"/>
      <c r="C143" s="19"/>
      <c r="D143" s="19"/>
      <c r="E143" s="523"/>
      <c r="F143" s="18"/>
      <c r="G143" s="19"/>
      <c r="H143" s="332">
        <f t="shared" si="5"/>
        <v>36</v>
      </c>
    </row>
    <row r="144" spans="1:8" ht="16" thickBot="1">
      <c r="A144" s="332">
        <f t="shared" si="4"/>
        <v>37</v>
      </c>
      <c r="B144" s="19" t="s">
        <v>102</v>
      </c>
      <c r="C144" s="19"/>
      <c r="D144" s="19"/>
      <c r="E144" s="524">
        <f>SUM(E128:E142)</f>
        <v>0.16474909674745464</v>
      </c>
      <c r="F144" s="671"/>
      <c r="G144" s="17" t="s">
        <v>508</v>
      </c>
      <c r="H144" s="332">
        <f t="shared" si="5"/>
        <v>37</v>
      </c>
    </row>
    <row r="145" spans="1:8" ht="16" thickTop="1">
      <c r="A145" s="332">
        <f t="shared" si="4"/>
        <v>38</v>
      </c>
      <c r="B145" s="19"/>
      <c r="C145" s="19"/>
      <c r="D145" s="19"/>
      <c r="E145" s="396"/>
      <c r="F145" s="44"/>
      <c r="G145" s="17"/>
      <c r="H145" s="332">
        <f t="shared" si="5"/>
        <v>38</v>
      </c>
    </row>
    <row r="146" spans="1:8">
      <c r="A146" s="332">
        <f t="shared" si="4"/>
        <v>39</v>
      </c>
      <c r="B146" s="21" t="s">
        <v>103</v>
      </c>
      <c r="C146" s="21"/>
      <c r="D146" s="21"/>
      <c r="E146" s="334"/>
      <c r="F146" s="19"/>
      <c r="G146" s="18"/>
      <c r="H146" s="332">
        <f t="shared" si="5"/>
        <v>39</v>
      </c>
    </row>
    <row r="147" spans="1:8">
      <c r="A147" s="332">
        <f t="shared" si="4"/>
        <v>40</v>
      </c>
      <c r="B147" s="22" t="s">
        <v>104</v>
      </c>
      <c r="C147" s="22"/>
      <c r="D147" s="22"/>
      <c r="E147" s="397">
        <v>63083.887755798001</v>
      </c>
      <c r="F147" s="671"/>
      <c r="G147" s="17" t="s">
        <v>716</v>
      </c>
      <c r="H147" s="332">
        <f t="shared" si="5"/>
        <v>40</v>
      </c>
    </row>
    <row r="148" spans="1:8">
      <c r="A148" s="332">
        <f t="shared" si="4"/>
        <v>41</v>
      </c>
      <c r="B148" s="22"/>
      <c r="C148" s="22"/>
      <c r="D148" s="22"/>
      <c r="E148" s="398"/>
      <c r="F148" s="45"/>
      <c r="G148" s="17"/>
      <c r="H148" s="332">
        <f t="shared" si="5"/>
        <v>41</v>
      </c>
    </row>
    <row r="149" spans="1:8">
      <c r="A149" s="332">
        <f t="shared" si="4"/>
        <v>42</v>
      </c>
      <c r="B149" s="22" t="s">
        <v>105</v>
      </c>
      <c r="C149" s="22"/>
      <c r="D149" s="22"/>
      <c r="E149" s="397">
        <v>15795.991830000001</v>
      </c>
      <c r="F149" s="671"/>
      <c r="G149" s="17" t="s">
        <v>717</v>
      </c>
      <c r="H149" s="332">
        <f t="shared" si="5"/>
        <v>42</v>
      </c>
    </row>
    <row r="150" spans="1:8">
      <c r="A150" s="332">
        <f t="shared" si="4"/>
        <v>43</v>
      </c>
      <c r="B150" s="22"/>
      <c r="C150" s="22"/>
      <c r="D150" s="22"/>
      <c r="E150" s="30"/>
      <c r="F150" s="19"/>
      <c r="G150" s="17"/>
      <c r="H150" s="332">
        <f t="shared" si="5"/>
        <v>43</v>
      </c>
    </row>
    <row r="151" spans="1:8">
      <c r="A151" s="332">
        <f t="shared" si="4"/>
        <v>44</v>
      </c>
      <c r="B151" s="22" t="s">
        <v>106</v>
      </c>
      <c r="C151" s="22"/>
      <c r="D151" s="22"/>
      <c r="E151" s="399">
        <f>E113</f>
        <v>1153244.7168116895</v>
      </c>
      <c r="F151" s="671"/>
      <c r="G151" s="17" t="s">
        <v>509</v>
      </c>
      <c r="H151" s="332">
        <f t="shared" si="5"/>
        <v>44</v>
      </c>
    </row>
    <row r="152" spans="1:8">
      <c r="A152" s="332">
        <f t="shared" si="4"/>
        <v>45</v>
      </c>
      <c r="B152" s="22"/>
      <c r="C152" s="22"/>
      <c r="D152" s="22"/>
      <c r="E152" s="525"/>
      <c r="F152" s="46"/>
      <c r="G152" s="20"/>
      <c r="H152" s="332">
        <f t="shared" si="5"/>
        <v>45</v>
      </c>
    </row>
    <row r="153" spans="1:8" ht="16" thickBot="1">
      <c r="A153" s="332">
        <f t="shared" si="4"/>
        <v>46</v>
      </c>
      <c r="B153" s="19" t="s">
        <v>107</v>
      </c>
      <c r="C153" s="22"/>
      <c r="D153" s="22"/>
      <c r="E153" s="526">
        <f>(E147+E149)/E151</f>
        <v>6.8398214564444518E-2</v>
      </c>
      <c r="F153" s="671"/>
      <c r="G153" s="17" t="s">
        <v>510</v>
      </c>
      <c r="H153" s="332">
        <f t="shared" si="5"/>
        <v>46</v>
      </c>
    </row>
    <row r="154" spans="1:8" ht="16" thickTop="1">
      <c r="A154" s="332">
        <f t="shared" si="4"/>
        <v>47</v>
      </c>
      <c r="B154" s="19"/>
      <c r="C154" s="19"/>
      <c r="D154" s="19"/>
      <c r="E154" s="400"/>
      <c r="F154" s="46"/>
      <c r="G154" s="20"/>
      <c r="H154" s="332">
        <f t="shared" si="5"/>
        <v>47</v>
      </c>
    </row>
    <row r="155" spans="1:8">
      <c r="A155" s="332">
        <f t="shared" si="4"/>
        <v>48</v>
      </c>
      <c r="B155" s="21" t="s">
        <v>108</v>
      </c>
      <c r="C155" s="21"/>
      <c r="D155" s="21"/>
      <c r="E155" s="331"/>
      <c r="F155" s="56"/>
      <c r="G155" s="19"/>
      <c r="H155" s="332">
        <f t="shared" si="5"/>
        <v>48</v>
      </c>
    </row>
    <row r="156" spans="1:8">
      <c r="A156" s="332">
        <f t="shared" si="4"/>
        <v>49</v>
      </c>
      <c r="B156" s="19"/>
      <c r="C156" s="19"/>
      <c r="D156" s="19"/>
      <c r="E156" s="331"/>
      <c r="F156" s="56"/>
      <c r="G156" s="19"/>
      <c r="H156" s="332">
        <f t="shared" si="5"/>
        <v>49</v>
      </c>
    </row>
    <row r="157" spans="1:8">
      <c r="A157" s="332">
        <f t="shared" si="4"/>
        <v>50</v>
      </c>
      <c r="B157" s="22" t="s">
        <v>109</v>
      </c>
      <c r="C157" s="22"/>
      <c r="D157" s="22"/>
      <c r="E157" s="401">
        <v>0</v>
      </c>
      <c r="G157" s="17" t="s">
        <v>511</v>
      </c>
      <c r="H157" s="332">
        <f t="shared" si="5"/>
        <v>50</v>
      </c>
    </row>
    <row r="158" spans="1:8">
      <c r="A158" s="332">
        <f t="shared" si="4"/>
        <v>51</v>
      </c>
      <c r="B158" s="22"/>
      <c r="C158" s="22"/>
      <c r="D158" s="22"/>
      <c r="E158" s="402"/>
      <c r="F158" s="47"/>
      <c r="G158" s="19"/>
      <c r="H158" s="332">
        <f t="shared" si="5"/>
        <v>51</v>
      </c>
    </row>
    <row r="159" spans="1:8">
      <c r="A159" s="332">
        <f t="shared" si="4"/>
        <v>52</v>
      </c>
      <c r="B159" s="22" t="s">
        <v>36</v>
      </c>
      <c r="C159" s="22"/>
      <c r="D159" s="22"/>
      <c r="E159" s="403">
        <f>'Pg12 As Filed Stmt AV FERC Adj'!G113</f>
        <v>9.635088218301012E-2</v>
      </c>
      <c r="F159" s="671"/>
      <c r="G159" s="17" t="s">
        <v>779</v>
      </c>
      <c r="H159" s="332">
        <f t="shared" si="5"/>
        <v>52</v>
      </c>
    </row>
    <row r="160" spans="1:8">
      <c r="A160" s="332">
        <f t="shared" si="4"/>
        <v>53</v>
      </c>
      <c r="B160" s="19"/>
      <c r="C160" s="19"/>
      <c r="D160" s="19"/>
      <c r="E160" s="404"/>
      <c r="F160" s="48"/>
      <c r="G160" s="19"/>
      <c r="H160" s="332">
        <f t="shared" si="5"/>
        <v>53</v>
      </c>
    </row>
    <row r="161" spans="1:8">
      <c r="A161" s="332">
        <f t="shared" si="4"/>
        <v>54</v>
      </c>
      <c r="B161" s="22" t="s">
        <v>110</v>
      </c>
      <c r="C161" s="22"/>
      <c r="D161" s="22"/>
      <c r="E161" s="405">
        <f>E157*E159</f>
        <v>0</v>
      </c>
      <c r="F161" s="55"/>
      <c r="G161" s="17" t="s">
        <v>512</v>
      </c>
      <c r="H161" s="332">
        <f t="shared" si="5"/>
        <v>54</v>
      </c>
    </row>
    <row r="162" spans="1:8">
      <c r="A162" s="332">
        <f t="shared" si="4"/>
        <v>55</v>
      </c>
      <c r="B162" s="19"/>
      <c r="C162" s="19"/>
      <c r="D162" s="19"/>
      <c r="E162" s="406"/>
      <c r="F162" s="49"/>
      <c r="G162" s="19"/>
      <c r="H162" s="332">
        <f t="shared" si="5"/>
        <v>55</v>
      </c>
    </row>
    <row r="163" spans="1:8">
      <c r="A163" s="332">
        <f t="shared" si="4"/>
        <v>56</v>
      </c>
      <c r="B163" s="22" t="s">
        <v>111</v>
      </c>
      <c r="C163" s="22"/>
      <c r="D163" s="22"/>
      <c r="E163" s="407">
        <f>E113</f>
        <v>1153244.7168116895</v>
      </c>
      <c r="F163" s="671"/>
      <c r="G163" s="17" t="s">
        <v>509</v>
      </c>
      <c r="H163" s="332">
        <f t="shared" si="5"/>
        <v>56</v>
      </c>
    </row>
    <row r="164" spans="1:8">
      <c r="A164" s="332">
        <f t="shared" si="4"/>
        <v>57</v>
      </c>
      <c r="B164" s="19"/>
      <c r="C164" s="19"/>
      <c r="D164" s="19"/>
      <c r="E164" s="527"/>
      <c r="F164" s="320"/>
      <c r="G164" s="19"/>
      <c r="H164" s="332">
        <f t="shared" si="5"/>
        <v>57</v>
      </c>
    </row>
    <row r="165" spans="1:8" ht="16" thickBot="1">
      <c r="A165" s="332">
        <f t="shared" si="4"/>
        <v>58</v>
      </c>
      <c r="B165" s="19" t="s">
        <v>112</v>
      </c>
      <c r="C165" s="22"/>
      <c r="D165" s="22"/>
      <c r="E165" s="522">
        <f>E161/E163</f>
        <v>0</v>
      </c>
      <c r="F165" s="79"/>
      <c r="G165" s="17" t="s">
        <v>513</v>
      </c>
      <c r="H165" s="332">
        <f t="shared" si="5"/>
        <v>58</v>
      </c>
    </row>
    <row r="166" spans="1:8" ht="16" thickTop="1">
      <c r="A166" s="332"/>
      <c r="B166" s="19"/>
      <c r="C166" s="22"/>
      <c r="D166" s="22"/>
      <c r="E166" s="350"/>
      <c r="F166" s="79"/>
      <c r="G166" s="17"/>
      <c r="H166" s="332"/>
    </row>
    <row r="167" spans="1:8">
      <c r="A167" s="332"/>
      <c r="B167" s="19"/>
      <c r="C167" s="22"/>
      <c r="D167" s="22"/>
      <c r="E167" s="350"/>
      <c r="F167" s="79"/>
      <c r="G167" s="17"/>
      <c r="H167" s="332"/>
    </row>
    <row r="168" spans="1:8">
      <c r="A168" s="671"/>
      <c r="B168" s="5"/>
      <c r="C168" s="19"/>
      <c r="D168" s="19"/>
      <c r="E168" s="56"/>
      <c r="F168" s="56"/>
      <c r="G168" s="50"/>
      <c r="H168" s="325"/>
    </row>
    <row r="169" spans="1:8" ht="18.5">
      <c r="A169" s="330"/>
      <c r="B169" s="51"/>
      <c r="C169" s="51"/>
      <c r="D169" s="51"/>
      <c r="E169" s="19"/>
      <c r="F169" s="19"/>
      <c r="G169" s="19"/>
      <c r="H169" s="330"/>
    </row>
    <row r="170" spans="1:8">
      <c r="A170" s="330"/>
      <c r="B170" s="56"/>
      <c r="C170" s="56"/>
      <c r="D170" s="56"/>
      <c r="E170" s="56"/>
      <c r="F170" s="56"/>
      <c r="G170" s="19"/>
      <c r="H170" s="325"/>
    </row>
    <row r="171" spans="1:8">
      <c r="A171" s="330"/>
      <c r="B171" s="56"/>
      <c r="C171" s="56"/>
      <c r="D171" s="56"/>
      <c r="E171" s="56"/>
      <c r="F171" s="56"/>
      <c r="G171" s="19"/>
      <c r="H171" s="325"/>
    </row>
    <row r="172" spans="1:8">
      <c r="A172" s="330"/>
      <c r="B172" s="19"/>
      <c r="C172" s="19"/>
      <c r="D172" s="19"/>
      <c r="E172" s="56"/>
      <c r="F172" s="56"/>
      <c r="G172" s="19"/>
      <c r="H172" s="325"/>
    </row>
    <row r="173" spans="1:8">
      <c r="A173" s="330"/>
      <c r="B173" s="19"/>
      <c r="C173" s="19"/>
      <c r="D173" s="19"/>
      <c r="E173" s="56"/>
      <c r="F173" s="56"/>
      <c r="G173" s="19"/>
      <c r="H173" s="325"/>
    </row>
    <row r="174" spans="1:8">
      <c r="A174" s="330"/>
      <c r="B174" s="19"/>
      <c r="C174" s="19"/>
      <c r="D174" s="19"/>
      <c r="E174" s="56"/>
      <c r="F174" s="56"/>
      <c r="G174" s="19"/>
      <c r="H174" s="325"/>
    </row>
    <row r="175" spans="1:8">
      <c r="A175" s="334"/>
    </row>
    <row r="176" spans="1:8">
      <c r="A176" s="334"/>
    </row>
    <row r="177" spans="1:1">
      <c r="A177" s="334"/>
    </row>
    <row r="178" spans="1:1">
      <c r="A178" s="334"/>
    </row>
    <row r="179" spans="1:1">
      <c r="A179" s="334"/>
    </row>
    <row r="180" spans="1:1">
      <c r="A180" s="334"/>
    </row>
    <row r="181" spans="1:1">
      <c r="A181" s="334"/>
    </row>
    <row r="182" spans="1:1">
      <c r="A182" s="334"/>
    </row>
    <row r="183" spans="1:1">
      <c r="A183" s="334"/>
    </row>
    <row r="184" spans="1:1">
      <c r="A184" s="334"/>
    </row>
    <row r="185" spans="1:1">
      <c r="A185" s="334"/>
    </row>
    <row r="186" spans="1:1">
      <c r="A186" s="334"/>
    </row>
    <row r="187" spans="1:1">
      <c r="A187" s="334"/>
    </row>
    <row r="188" spans="1:1">
      <c r="A188" s="334"/>
    </row>
    <row r="189" spans="1:1">
      <c r="A189" s="334"/>
    </row>
    <row r="190" spans="1:1">
      <c r="A190" s="334"/>
    </row>
    <row r="191" spans="1:1">
      <c r="A191" s="334"/>
    </row>
    <row r="192" spans="1:1">
      <c r="A192" s="334"/>
    </row>
    <row r="193" spans="1:1">
      <c r="A193" s="334"/>
    </row>
    <row r="194" spans="1:1">
      <c r="A194" s="334"/>
    </row>
    <row r="195" spans="1:1">
      <c r="A195" s="334"/>
    </row>
    <row r="196" spans="1:1">
      <c r="A196" s="334"/>
    </row>
    <row r="197" spans="1:1">
      <c r="A197" s="334"/>
    </row>
    <row r="198" spans="1:1">
      <c r="A198" s="334"/>
    </row>
    <row r="199" spans="1:1">
      <c r="A199" s="334"/>
    </row>
    <row r="200" spans="1:1">
      <c r="A200" s="334"/>
    </row>
    <row r="201" spans="1:1">
      <c r="A201" s="334"/>
    </row>
    <row r="202" spans="1:1">
      <c r="A202" s="334"/>
    </row>
    <row r="203" spans="1:1">
      <c r="A203" s="334"/>
    </row>
    <row r="204" spans="1:1">
      <c r="A204" s="334"/>
    </row>
    <row r="205" spans="1:1">
      <c r="A205" s="334"/>
    </row>
    <row r="206" spans="1:1">
      <c r="A206" s="334"/>
    </row>
    <row r="207" spans="1:1">
      <c r="A207" s="334"/>
    </row>
    <row r="208" spans="1:1">
      <c r="A208" s="334"/>
    </row>
    <row r="209" spans="1:1">
      <c r="A209" s="334"/>
    </row>
    <row r="210" spans="1:1">
      <c r="A210" s="334"/>
    </row>
    <row r="211" spans="1:1">
      <c r="A211" s="334"/>
    </row>
    <row r="212" spans="1:1">
      <c r="A212" s="334"/>
    </row>
    <row r="213" spans="1:1">
      <c r="A213" s="334"/>
    </row>
    <row r="214" spans="1:1">
      <c r="A214" s="334"/>
    </row>
    <row r="215" spans="1:1">
      <c r="A215" s="334"/>
    </row>
    <row r="216" spans="1:1">
      <c r="A216" s="334"/>
    </row>
    <row r="217" spans="1:1">
      <c r="A217" s="334"/>
    </row>
    <row r="218" spans="1:1">
      <c r="A218" s="334"/>
    </row>
    <row r="219" spans="1:1">
      <c r="A219" s="334"/>
    </row>
    <row r="220" spans="1:1">
      <c r="A220" s="334"/>
    </row>
    <row r="221" spans="1:1">
      <c r="A221" s="334"/>
    </row>
    <row r="222" spans="1:1">
      <c r="A222" s="334"/>
    </row>
    <row r="223" spans="1:1">
      <c r="A223" s="334"/>
    </row>
    <row r="224" spans="1:1">
      <c r="A224" s="334"/>
    </row>
    <row r="225" spans="1:6">
      <c r="A225" s="334"/>
    </row>
    <row r="226" spans="1:6">
      <c r="A226" s="334"/>
    </row>
    <row r="227" spans="1:6">
      <c r="A227" s="334"/>
    </row>
    <row r="228" spans="1:6">
      <c r="A228" s="334"/>
    </row>
    <row r="229" spans="1:6">
      <c r="A229" s="334"/>
    </row>
    <row r="230" spans="1:6">
      <c r="A230" s="334"/>
    </row>
    <row r="231" spans="1:6">
      <c r="A231" s="334"/>
    </row>
    <row r="232" spans="1:6">
      <c r="A232" s="334"/>
    </row>
    <row r="233" spans="1:6">
      <c r="A233" s="334"/>
    </row>
    <row r="234" spans="1:6">
      <c r="A234" s="334"/>
    </row>
    <row r="235" spans="1:6">
      <c r="A235" s="334"/>
    </row>
    <row r="236" spans="1:6">
      <c r="A236" s="334"/>
    </row>
    <row r="237" spans="1:6">
      <c r="A237" s="334"/>
    </row>
    <row r="238" spans="1:6">
      <c r="A238" s="334"/>
    </row>
    <row r="239" spans="1:6">
      <c r="A239" s="334"/>
      <c r="B239" s="56"/>
      <c r="C239" s="56"/>
      <c r="D239" s="56"/>
      <c r="E239" s="56"/>
      <c r="F239" s="56"/>
    </row>
    <row r="240" spans="1:6">
      <c r="A240" s="334"/>
      <c r="B240" s="56"/>
      <c r="C240" s="56"/>
      <c r="D240" s="56"/>
      <c r="E240" s="56"/>
      <c r="F240" s="56"/>
    </row>
    <row r="245" spans="1:6">
      <c r="A245" s="331"/>
      <c r="B245" s="56"/>
      <c r="C245" s="56"/>
      <c r="D245" s="56"/>
      <c r="E245" s="50"/>
      <c r="F245" s="50"/>
    </row>
  </sheetData>
  <mergeCells count="15">
    <mergeCell ref="B101:G101"/>
    <mergeCell ref="B102:G102"/>
    <mergeCell ref="B103:G103"/>
    <mergeCell ref="B48:G48"/>
    <mergeCell ref="B49:G49"/>
    <mergeCell ref="B50:G50"/>
    <mergeCell ref="B51:G51"/>
    <mergeCell ref="B99:G99"/>
    <mergeCell ref="B100:G100"/>
    <mergeCell ref="B47:G47"/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5.&amp;P&amp;R&amp;A</oddFooter>
  </headerFooter>
  <rowBreaks count="2" manualBreakCount="2">
    <brk id="45" max="16383" man="1"/>
    <brk id="9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4B53-1A4A-457B-AFD7-E5B556858D8D}">
  <dimension ref="A1:J246"/>
  <sheetViews>
    <sheetView zoomScale="80" zoomScaleNormal="80" workbookViewId="0"/>
  </sheetViews>
  <sheetFormatPr defaultColWidth="8.81640625" defaultRowHeight="15.5"/>
  <cols>
    <col min="1" max="1" width="5.1796875" style="116" customWidth="1"/>
    <col min="2" max="2" width="93.1796875" style="7" bestFit="1" customWidth="1"/>
    <col min="3" max="3" width="10.453125" style="7" customWidth="1"/>
    <col min="4" max="4" width="1.54296875" style="7" customWidth="1"/>
    <col min="5" max="5" width="16.81640625" style="7" customWidth="1"/>
    <col min="6" max="6" width="1.54296875" style="7" customWidth="1"/>
    <col min="7" max="7" width="43.453125" style="7" customWidth="1"/>
    <col min="8" max="8" width="5.1796875" style="106" customWidth="1"/>
    <col min="9" max="9" width="8.81640625" style="7"/>
    <col min="10" max="10" width="9.81640625" style="7" bestFit="1" customWidth="1"/>
    <col min="11" max="16384" width="8.81640625" style="7"/>
  </cols>
  <sheetData>
    <row r="1" spans="1:8">
      <c r="A1" s="914" t="s">
        <v>790</v>
      </c>
    </row>
    <row r="2" spans="1:8">
      <c r="A2" s="330"/>
      <c r="B2" s="19"/>
      <c r="C2" s="19"/>
      <c r="D2" s="19"/>
      <c r="E2" s="56"/>
      <c r="F2" s="56"/>
      <c r="G2" s="56"/>
      <c r="H2" s="325"/>
    </row>
    <row r="3" spans="1:8">
      <c r="B3" s="1017" t="s">
        <v>0</v>
      </c>
      <c r="C3" s="1017"/>
      <c r="D3" s="1017"/>
      <c r="E3" s="1017"/>
      <c r="F3" s="1017"/>
      <c r="G3" s="1017"/>
      <c r="H3" s="330"/>
    </row>
    <row r="4" spans="1:8">
      <c r="B4" s="1017" t="s">
        <v>32</v>
      </c>
      <c r="C4" s="1017"/>
      <c r="D4" s="1017"/>
      <c r="E4" s="1017"/>
      <c r="F4" s="1017"/>
      <c r="G4" s="1017"/>
      <c r="H4" s="330"/>
    </row>
    <row r="5" spans="1:8">
      <c r="B5" s="1017" t="s">
        <v>38</v>
      </c>
      <c r="C5" s="1017"/>
      <c r="D5" s="1017"/>
      <c r="E5" s="1017"/>
      <c r="F5" s="1017"/>
      <c r="G5" s="1017"/>
      <c r="H5" s="330"/>
    </row>
    <row r="6" spans="1:8">
      <c r="B6" s="1018" t="s">
        <v>480</v>
      </c>
      <c r="C6" s="1018"/>
      <c r="D6" s="1018"/>
      <c r="E6" s="1018"/>
      <c r="F6" s="1018"/>
      <c r="G6" s="1018"/>
      <c r="H6" s="330"/>
    </row>
    <row r="7" spans="1:8">
      <c r="B7" s="1019" t="s">
        <v>1</v>
      </c>
      <c r="C7" s="1019"/>
      <c r="D7" s="1019"/>
      <c r="E7" s="1019"/>
      <c r="F7" s="1019"/>
      <c r="G7" s="1019"/>
      <c r="H7" s="324"/>
    </row>
    <row r="8" spans="1:8">
      <c r="A8" s="331"/>
      <c r="B8" s="18"/>
      <c r="C8" s="18"/>
      <c r="D8" s="18"/>
      <c r="E8" s="18"/>
      <c r="F8" s="18"/>
      <c r="G8" s="56"/>
      <c r="H8" s="325"/>
    </row>
    <row r="9" spans="1:8">
      <c r="A9" s="332" t="s">
        <v>2</v>
      </c>
      <c r="B9" s="19"/>
      <c r="C9" s="19"/>
      <c r="D9" s="19"/>
      <c r="E9" s="18"/>
      <c r="F9" s="18"/>
      <c r="G9" s="19"/>
      <c r="H9" s="332" t="s">
        <v>2</v>
      </c>
    </row>
    <row r="10" spans="1:8">
      <c r="A10" s="332" t="s">
        <v>3</v>
      </c>
      <c r="B10" s="19"/>
      <c r="C10" s="19"/>
      <c r="D10" s="19"/>
      <c r="E10" s="321" t="s">
        <v>33</v>
      </c>
      <c r="F10" s="23"/>
      <c r="G10" s="321" t="s">
        <v>5</v>
      </c>
      <c r="H10" s="332" t="s">
        <v>3</v>
      </c>
    </row>
    <row r="11" spans="1:8">
      <c r="A11" s="332"/>
      <c r="B11" s="19"/>
      <c r="C11" s="19"/>
      <c r="D11" s="19"/>
      <c r="E11" s="18"/>
      <c r="F11" s="23"/>
      <c r="G11" s="18"/>
      <c r="H11" s="332"/>
    </row>
    <row r="12" spans="1:8">
      <c r="A12" s="332">
        <v>1</v>
      </c>
      <c r="B12" s="21" t="s">
        <v>39</v>
      </c>
      <c r="C12" s="21"/>
      <c r="D12" s="21"/>
      <c r="E12" s="56"/>
      <c r="F12" s="56"/>
      <c r="G12" s="18"/>
      <c r="H12" s="332">
        <f>A12</f>
        <v>1</v>
      </c>
    </row>
    <row r="13" spans="1:8">
      <c r="A13" s="332">
        <f>A12+1</f>
        <v>2</v>
      </c>
      <c r="B13" s="22" t="s">
        <v>40</v>
      </c>
      <c r="C13" s="30"/>
      <c r="D13" s="30"/>
      <c r="E13" s="869">
        <f>E62</f>
        <v>5.7864935031086383E-3</v>
      </c>
      <c r="F13" s="671" t="s">
        <v>460</v>
      </c>
      <c r="G13" s="17" t="s">
        <v>481</v>
      </c>
      <c r="H13" s="332">
        <f>H12+1</f>
        <v>2</v>
      </c>
    </row>
    <row r="14" spans="1:8">
      <c r="A14" s="332">
        <f t="shared" ref="A14:A42" si="0">A13+1</f>
        <v>3</v>
      </c>
      <c r="B14" s="19"/>
      <c r="C14" s="334"/>
      <c r="D14" s="334"/>
      <c r="E14" s="357"/>
      <c r="F14" s="23"/>
      <c r="G14" s="17"/>
      <c r="H14" s="332">
        <f t="shared" ref="H14:H42" si="1">H13+1</f>
        <v>3</v>
      </c>
    </row>
    <row r="15" spans="1:8">
      <c r="A15" s="332">
        <f t="shared" si="0"/>
        <v>4</v>
      </c>
      <c r="B15" s="22" t="s">
        <v>41</v>
      </c>
      <c r="C15" s="30"/>
      <c r="D15" s="30"/>
      <c r="E15" s="358">
        <f>E66</f>
        <v>8.8670151163371222E-4</v>
      </c>
      <c r="F15" s="312"/>
      <c r="G15" s="17" t="s">
        <v>482</v>
      </c>
      <c r="H15" s="332">
        <f t="shared" si="1"/>
        <v>4</v>
      </c>
    </row>
    <row r="16" spans="1:8">
      <c r="A16" s="332">
        <f t="shared" si="0"/>
        <v>5</v>
      </c>
      <c r="B16" s="19"/>
      <c r="C16" s="334"/>
      <c r="D16" s="334"/>
      <c r="E16" s="357"/>
      <c r="F16" s="23"/>
      <c r="G16" s="17"/>
      <c r="H16" s="332">
        <f t="shared" si="1"/>
        <v>5</v>
      </c>
    </row>
    <row r="17" spans="1:8">
      <c r="A17" s="332">
        <f t="shared" si="0"/>
        <v>6</v>
      </c>
      <c r="B17" s="22" t="s">
        <v>42</v>
      </c>
      <c r="C17" s="30"/>
      <c r="D17" s="30"/>
      <c r="E17" s="356">
        <f>E73</f>
        <v>6.0850429068180327E-3</v>
      </c>
      <c r="F17" s="311"/>
      <c r="G17" s="17" t="s">
        <v>483</v>
      </c>
      <c r="H17" s="332">
        <f t="shared" si="1"/>
        <v>6</v>
      </c>
    </row>
    <row r="18" spans="1:8">
      <c r="A18" s="332">
        <f t="shared" si="0"/>
        <v>7</v>
      </c>
      <c r="B18" s="56"/>
      <c r="C18" s="331"/>
      <c r="D18" s="331"/>
      <c r="E18" s="359"/>
      <c r="F18" s="313"/>
      <c r="G18" s="17"/>
      <c r="H18" s="332">
        <f t="shared" si="1"/>
        <v>7</v>
      </c>
    </row>
    <row r="19" spans="1:8">
      <c r="A19" s="332">
        <f t="shared" si="0"/>
        <v>8</v>
      </c>
      <c r="B19" s="22" t="s">
        <v>43</v>
      </c>
      <c r="C19" s="30"/>
      <c r="D19" s="30"/>
      <c r="E19" s="356">
        <f>E78</f>
        <v>2.7464253212534126E-4</v>
      </c>
      <c r="F19" s="311"/>
      <c r="G19" s="17" t="s">
        <v>484</v>
      </c>
      <c r="H19" s="332">
        <f t="shared" si="1"/>
        <v>8</v>
      </c>
    </row>
    <row r="20" spans="1:8">
      <c r="A20" s="332">
        <f t="shared" si="0"/>
        <v>9</v>
      </c>
      <c r="B20" s="19"/>
      <c r="C20" s="334"/>
      <c r="D20" s="334"/>
      <c r="E20" s="357"/>
      <c r="F20" s="23"/>
      <c r="G20" s="17"/>
      <c r="H20" s="332">
        <f t="shared" si="1"/>
        <v>9</v>
      </c>
    </row>
    <row r="21" spans="1:8">
      <c r="A21" s="332">
        <f t="shared" si="0"/>
        <v>10</v>
      </c>
      <c r="B21" s="22" t="s">
        <v>44</v>
      </c>
      <c r="C21" s="30"/>
      <c r="D21" s="30"/>
      <c r="E21" s="356">
        <f>E81</f>
        <v>3.7280226056417248E-3</v>
      </c>
      <c r="F21" s="311"/>
      <c r="G21" s="17" t="s">
        <v>485</v>
      </c>
      <c r="H21" s="332">
        <f t="shared" si="1"/>
        <v>10</v>
      </c>
    </row>
    <row r="22" spans="1:8">
      <c r="A22" s="332">
        <f t="shared" si="0"/>
        <v>11</v>
      </c>
      <c r="B22" s="19"/>
      <c r="C22" s="334"/>
      <c r="D22" s="334"/>
      <c r="E22" s="357"/>
      <c r="F22" s="23"/>
      <c r="G22" s="17"/>
      <c r="H22" s="332">
        <f t="shared" si="1"/>
        <v>11</v>
      </c>
    </row>
    <row r="23" spans="1:8">
      <c r="A23" s="332">
        <f t="shared" si="0"/>
        <v>12</v>
      </c>
      <c r="B23" s="22" t="s">
        <v>45</v>
      </c>
      <c r="C23" s="30"/>
      <c r="D23" s="30"/>
      <c r="E23" s="360">
        <v>0</v>
      </c>
      <c r="F23" s="23"/>
      <c r="G23" s="17" t="s">
        <v>46</v>
      </c>
      <c r="H23" s="332">
        <f t="shared" si="1"/>
        <v>12</v>
      </c>
    </row>
    <row r="24" spans="1:8">
      <c r="A24" s="332">
        <f t="shared" si="0"/>
        <v>13</v>
      </c>
      <c r="B24" s="19"/>
      <c r="C24" s="334"/>
      <c r="D24" s="334"/>
      <c r="E24" s="357"/>
      <c r="F24" s="23"/>
      <c r="G24" s="17"/>
      <c r="H24" s="332">
        <f t="shared" si="1"/>
        <v>13</v>
      </c>
    </row>
    <row r="25" spans="1:8">
      <c r="A25" s="332">
        <f t="shared" si="0"/>
        <v>14</v>
      </c>
      <c r="B25" s="22" t="s">
        <v>47</v>
      </c>
      <c r="C25" s="30"/>
      <c r="D25" s="30"/>
      <c r="E25" s="361">
        <v>0</v>
      </c>
      <c r="F25" s="23"/>
      <c r="G25" s="17" t="s">
        <v>46</v>
      </c>
      <c r="H25" s="332">
        <f t="shared" si="1"/>
        <v>14</v>
      </c>
    </row>
    <row r="26" spans="1:8">
      <c r="A26" s="332">
        <f t="shared" si="0"/>
        <v>15</v>
      </c>
      <c r="B26" s="19"/>
      <c r="C26" s="334"/>
      <c r="D26" s="334"/>
      <c r="E26" s="357"/>
      <c r="F26" s="23"/>
      <c r="G26" s="17"/>
      <c r="H26" s="332">
        <f t="shared" si="1"/>
        <v>15</v>
      </c>
    </row>
    <row r="27" spans="1:8">
      <c r="A27" s="332">
        <f t="shared" si="0"/>
        <v>16</v>
      </c>
      <c r="B27" s="22" t="s">
        <v>48</v>
      </c>
      <c r="C27" s="30"/>
      <c r="D27" s="30"/>
      <c r="E27" s="360">
        <v>0</v>
      </c>
      <c r="F27" s="23"/>
      <c r="G27" s="17" t="s">
        <v>46</v>
      </c>
      <c r="H27" s="332">
        <f t="shared" si="1"/>
        <v>16</v>
      </c>
    </row>
    <row r="28" spans="1:8">
      <c r="A28" s="332">
        <f t="shared" si="0"/>
        <v>17</v>
      </c>
      <c r="B28" s="19"/>
      <c r="C28" s="334"/>
      <c r="D28" s="334"/>
      <c r="E28" s="357"/>
      <c r="F28" s="23"/>
      <c r="G28" s="17"/>
      <c r="H28" s="332">
        <f t="shared" si="1"/>
        <v>17</v>
      </c>
    </row>
    <row r="29" spans="1:8">
      <c r="A29" s="332">
        <f t="shared" si="0"/>
        <v>18</v>
      </c>
      <c r="B29" s="22" t="s">
        <v>49</v>
      </c>
      <c r="C29" s="30"/>
      <c r="D29" s="30"/>
      <c r="E29" s="513">
        <f>E94</f>
        <v>1.315317750895737E-3</v>
      </c>
      <c r="F29" s="311"/>
      <c r="G29" s="17" t="s">
        <v>486</v>
      </c>
      <c r="H29" s="332">
        <f t="shared" si="1"/>
        <v>18</v>
      </c>
    </row>
    <row r="30" spans="1:8">
      <c r="A30" s="332">
        <f t="shared" si="0"/>
        <v>19</v>
      </c>
      <c r="B30" s="24"/>
      <c r="C30" s="362"/>
      <c r="D30" s="362"/>
      <c r="E30" s="514"/>
      <c r="F30" s="54"/>
      <c r="G30" s="17"/>
      <c r="H30" s="332">
        <f t="shared" si="1"/>
        <v>19</v>
      </c>
    </row>
    <row r="31" spans="1:8">
      <c r="A31" s="332">
        <f t="shared" si="0"/>
        <v>20</v>
      </c>
      <c r="B31" s="22" t="s">
        <v>50</v>
      </c>
      <c r="C31" s="30"/>
      <c r="D31" s="30"/>
      <c r="E31" s="870">
        <f>SUM(E13:E29)</f>
        <v>1.8076220810223184E-2</v>
      </c>
      <c r="F31" s="671" t="s">
        <v>460</v>
      </c>
      <c r="G31" s="17" t="s">
        <v>487</v>
      </c>
      <c r="H31" s="332">
        <f t="shared" si="1"/>
        <v>20</v>
      </c>
    </row>
    <row r="32" spans="1:8">
      <c r="A32" s="332">
        <f t="shared" si="0"/>
        <v>21</v>
      </c>
      <c r="B32" s="19"/>
      <c r="C32" s="334"/>
      <c r="D32" s="334"/>
      <c r="E32" s="364"/>
      <c r="F32" s="25"/>
      <c r="G32" s="17"/>
      <c r="H32" s="332">
        <f t="shared" si="1"/>
        <v>21</v>
      </c>
    </row>
    <row r="33" spans="1:8">
      <c r="A33" s="332">
        <f t="shared" si="0"/>
        <v>22</v>
      </c>
      <c r="B33" s="56" t="s">
        <v>37</v>
      </c>
      <c r="C33" s="365">
        <v>1.0277E-2</v>
      </c>
      <c r="D33" s="334"/>
      <c r="E33" s="515">
        <f>E31*C33</f>
        <v>1.8576932126666365E-4</v>
      </c>
      <c r="F33" s="276"/>
      <c r="G33" s="17" t="s">
        <v>488</v>
      </c>
      <c r="H33" s="332">
        <f t="shared" si="1"/>
        <v>22</v>
      </c>
    </row>
    <row r="34" spans="1:8">
      <c r="A34" s="332">
        <f t="shared" si="0"/>
        <v>23</v>
      </c>
      <c r="B34" s="19"/>
      <c r="C34" s="334"/>
      <c r="D34" s="334"/>
      <c r="E34" s="516"/>
      <c r="F34" s="53"/>
      <c r="G34" s="17"/>
      <c r="H34" s="332">
        <f t="shared" si="1"/>
        <v>23</v>
      </c>
    </row>
    <row r="35" spans="1:8" ht="16" thickBot="1">
      <c r="A35" s="332">
        <f t="shared" si="0"/>
        <v>24</v>
      </c>
      <c r="B35" s="19" t="s">
        <v>51</v>
      </c>
      <c r="C35" s="334"/>
      <c r="D35" s="334"/>
      <c r="E35" s="871">
        <f>E31+E33</f>
        <v>1.8261990131489849E-2</v>
      </c>
      <c r="F35" s="671" t="s">
        <v>460</v>
      </c>
      <c r="G35" s="17" t="s">
        <v>489</v>
      </c>
      <c r="H35" s="332">
        <f t="shared" si="1"/>
        <v>24</v>
      </c>
    </row>
    <row r="36" spans="1:8" ht="16" thickTop="1">
      <c r="A36" s="332">
        <f t="shared" si="0"/>
        <v>25</v>
      </c>
      <c r="B36" s="56"/>
      <c r="C36" s="331"/>
      <c r="D36" s="331"/>
      <c r="E36" s="334"/>
      <c r="F36" s="19"/>
      <c r="G36" s="19"/>
      <c r="H36" s="332">
        <f t="shared" si="1"/>
        <v>25</v>
      </c>
    </row>
    <row r="37" spans="1:8">
      <c r="A37" s="332">
        <f t="shared" si="0"/>
        <v>26</v>
      </c>
      <c r="B37" s="21" t="s">
        <v>52</v>
      </c>
      <c r="C37" s="366"/>
      <c r="D37" s="366"/>
      <c r="E37" s="331"/>
      <c r="F37" s="56"/>
      <c r="G37" s="19"/>
      <c r="H37" s="332">
        <f t="shared" si="1"/>
        <v>26</v>
      </c>
    </row>
    <row r="38" spans="1:8">
      <c r="A38" s="332">
        <f t="shared" si="0"/>
        <v>27</v>
      </c>
      <c r="B38" s="22" t="s">
        <v>53</v>
      </c>
      <c r="C38" s="30"/>
      <c r="D38" s="30"/>
      <c r="E38" s="188">
        <v>85194</v>
      </c>
      <c r="F38" s="23"/>
      <c r="G38" s="17" t="s">
        <v>54</v>
      </c>
      <c r="H38" s="332">
        <f t="shared" si="1"/>
        <v>27</v>
      </c>
    </row>
    <row r="39" spans="1:8">
      <c r="A39" s="332">
        <f t="shared" si="0"/>
        <v>28</v>
      </c>
      <c r="B39" s="22"/>
      <c r="C39" s="30"/>
      <c r="D39" s="30"/>
      <c r="E39" s="30"/>
      <c r="F39" s="22"/>
      <c r="G39" s="17"/>
      <c r="H39" s="332">
        <f t="shared" si="1"/>
        <v>28</v>
      </c>
    </row>
    <row r="40" spans="1:8">
      <c r="A40" s="332">
        <f t="shared" si="0"/>
        <v>29</v>
      </c>
      <c r="B40" s="22" t="s">
        <v>55</v>
      </c>
      <c r="C40" s="30"/>
      <c r="D40" s="30"/>
      <c r="E40" s="870">
        <f>+E35</f>
        <v>1.8261990131489849E-2</v>
      </c>
      <c r="F40" s="671" t="s">
        <v>460</v>
      </c>
      <c r="G40" s="17" t="s">
        <v>490</v>
      </c>
      <c r="H40" s="332">
        <f t="shared" si="1"/>
        <v>29</v>
      </c>
    </row>
    <row r="41" spans="1:8">
      <c r="A41" s="332">
        <f t="shared" si="0"/>
        <v>30</v>
      </c>
      <c r="B41" s="19"/>
      <c r="C41" s="334"/>
      <c r="D41" s="334"/>
      <c r="E41" s="518"/>
      <c r="F41" s="318"/>
      <c r="G41" s="17"/>
      <c r="H41" s="332">
        <f t="shared" si="1"/>
        <v>30</v>
      </c>
    </row>
    <row r="42" spans="1:8" ht="16" thickBot="1">
      <c r="A42" s="332">
        <f t="shared" si="0"/>
        <v>31</v>
      </c>
      <c r="B42" s="19" t="s">
        <v>56</v>
      </c>
      <c r="C42" s="30"/>
      <c r="D42" s="30"/>
      <c r="E42" s="872">
        <f>E38*E40</f>
        <v>1555.8119872621462</v>
      </c>
      <c r="F42" s="671" t="s">
        <v>460</v>
      </c>
      <c r="G42" s="17" t="s">
        <v>491</v>
      </c>
      <c r="H42" s="332">
        <f t="shared" si="1"/>
        <v>31</v>
      </c>
    </row>
    <row r="43" spans="1:8" ht="16" thickTop="1">
      <c r="A43" s="332"/>
      <c r="B43" s="19"/>
      <c r="C43" s="30"/>
      <c r="D43" s="30"/>
      <c r="E43" s="229"/>
      <c r="F43" s="319"/>
      <c r="G43" s="17"/>
      <c r="H43" s="332"/>
    </row>
    <row r="44" spans="1:8">
      <c r="A44" s="332"/>
      <c r="B44" s="19"/>
      <c r="C44" s="22"/>
      <c r="D44" s="22"/>
      <c r="E44" s="354"/>
      <c r="F44" s="319"/>
      <c r="G44" s="17"/>
      <c r="H44" s="332"/>
    </row>
    <row r="45" spans="1:8">
      <c r="A45" s="671" t="s">
        <v>460</v>
      </c>
      <c r="B45" s="5" t="s">
        <v>687</v>
      </c>
      <c r="C45" s="19"/>
      <c r="D45" s="19"/>
      <c r="E45" s="24"/>
      <c r="F45" s="24"/>
      <c r="G45" s="56"/>
      <c r="H45" s="325"/>
    </row>
    <row r="46" spans="1:8">
      <c r="A46" s="671"/>
      <c r="B46" s="5"/>
      <c r="C46" s="19"/>
      <c r="D46" s="19"/>
      <c r="E46" s="24"/>
      <c r="F46" s="24"/>
      <c r="G46" s="56"/>
      <c r="H46" s="325"/>
    </row>
    <row r="47" spans="1:8">
      <c r="A47" s="671"/>
      <c r="B47" s="5"/>
      <c r="C47" s="19"/>
      <c r="D47" s="19"/>
      <c r="E47" s="24"/>
      <c r="F47" s="24"/>
      <c r="G47" s="56"/>
      <c r="H47" s="325"/>
    </row>
    <row r="48" spans="1:8">
      <c r="B48" s="1016" t="s">
        <v>57</v>
      </c>
      <c r="C48" s="1016"/>
      <c r="D48" s="1016"/>
      <c r="E48" s="1016"/>
      <c r="F48" s="1016"/>
      <c r="G48" s="1016"/>
      <c r="H48" s="335"/>
    </row>
    <row r="49" spans="1:10">
      <c r="B49" s="1017" t="s">
        <v>32</v>
      </c>
      <c r="C49" s="1017"/>
      <c r="D49" s="1017"/>
      <c r="E49" s="1017"/>
      <c r="F49" s="1017"/>
      <c r="G49" s="1017"/>
      <c r="H49" s="334"/>
    </row>
    <row r="50" spans="1:10">
      <c r="B50" s="1017" t="s">
        <v>38</v>
      </c>
      <c r="C50" s="1017"/>
      <c r="D50" s="1017"/>
      <c r="E50" s="1017"/>
      <c r="F50" s="1017"/>
      <c r="G50" s="1017"/>
      <c r="H50" s="334"/>
    </row>
    <row r="51" spans="1:10">
      <c r="B51" s="1018" t="str">
        <f>B6</f>
        <v>Base Period &amp; True-Up Period 12 - Months Ending December 31, 2017</v>
      </c>
      <c r="C51" s="1018"/>
      <c r="D51" s="1018"/>
      <c r="E51" s="1018"/>
      <c r="F51" s="1018"/>
      <c r="G51" s="1018"/>
      <c r="H51" s="334"/>
    </row>
    <row r="52" spans="1:10">
      <c r="B52" s="1013" t="s">
        <v>1</v>
      </c>
      <c r="C52" s="1013"/>
      <c r="D52" s="1013"/>
      <c r="E52" s="1013"/>
      <c r="F52" s="1013"/>
      <c r="G52" s="1013"/>
      <c r="H52" s="111"/>
    </row>
    <row r="53" spans="1:10">
      <c r="A53" s="333"/>
      <c r="B53" s="19"/>
      <c r="C53" s="19"/>
      <c r="D53" s="19"/>
      <c r="E53" s="19"/>
      <c r="F53" s="19"/>
      <c r="G53" s="19"/>
      <c r="H53" s="325"/>
    </row>
    <row r="54" spans="1:10">
      <c r="A54" s="332" t="s">
        <v>2</v>
      </c>
      <c r="B54" s="19"/>
      <c r="C54" s="19"/>
      <c r="D54" s="19"/>
      <c r="E54" s="18"/>
      <c r="F54" s="18"/>
      <c r="G54" s="19"/>
      <c r="H54" s="332" t="s">
        <v>2</v>
      </c>
    </row>
    <row r="55" spans="1:10">
      <c r="A55" s="332" t="s">
        <v>3</v>
      </c>
      <c r="B55" s="19"/>
      <c r="C55" s="19"/>
      <c r="D55" s="19"/>
      <c r="E55" s="321" t="s">
        <v>33</v>
      </c>
      <c r="F55" s="17"/>
      <c r="G55" s="321" t="s">
        <v>5</v>
      </c>
      <c r="H55" s="332" t="s">
        <v>3</v>
      </c>
    </row>
    <row r="56" spans="1:10">
      <c r="A56" s="332"/>
      <c r="B56" s="19"/>
      <c r="C56" s="19"/>
      <c r="D56" s="19"/>
      <c r="E56" s="18"/>
      <c r="F56" s="18"/>
      <c r="G56" s="19"/>
      <c r="H56" s="332"/>
    </row>
    <row r="57" spans="1:10">
      <c r="A57" s="332">
        <v>1</v>
      </c>
      <c r="B57" s="26" t="s">
        <v>58</v>
      </c>
      <c r="C57" s="26"/>
      <c r="D57" s="26"/>
      <c r="E57" s="857">
        <v>5249985.7493453845</v>
      </c>
      <c r="F57" s="671" t="s">
        <v>460</v>
      </c>
      <c r="G57" s="17" t="s">
        <v>705</v>
      </c>
      <c r="H57" s="332">
        <f>A57</f>
        <v>1</v>
      </c>
    </row>
    <row r="58" spans="1:10">
      <c r="A58" s="332">
        <f>A57+1</f>
        <v>2</v>
      </c>
      <c r="B58" s="19"/>
      <c r="C58" s="19"/>
      <c r="D58" s="19"/>
      <c r="E58" s="330"/>
      <c r="F58" s="18"/>
      <c r="G58" s="19"/>
      <c r="H58" s="332">
        <f>H57+1</f>
        <v>2</v>
      </c>
    </row>
    <row r="59" spans="1:10">
      <c r="A59" s="332">
        <f t="shared" ref="A59:A94" si="2">A58+1</f>
        <v>3</v>
      </c>
      <c r="B59" s="21" t="s">
        <v>59</v>
      </c>
      <c r="C59" s="21"/>
      <c r="D59" s="21"/>
      <c r="E59" s="368"/>
      <c r="F59" s="27"/>
      <c r="G59" s="19"/>
      <c r="H59" s="332">
        <f t="shared" ref="H59:H94" si="3">H58+1</f>
        <v>3</v>
      </c>
    </row>
    <row r="60" spans="1:10">
      <c r="A60" s="332">
        <f t="shared" si="2"/>
        <v>4</v>
      </c>
      <c r="B60" s="22" t="s">
        <v>60</v>
      </c>
      <c r="C60" s="22"/>
      <c r="D60" s="22"/>
      <c r="E60" s="940">
        <v>30379.008430000002</v>
      </c>
      <c r="F60" s="671" t="s">
        <v>460</v>
      </c>
      <c r="G60" s="17" t="s">
        <v>706</v>
      </c>
      <c r="H60" s="332">
        <f t="shared" si="3"/>
        <v>4</v>
      </c>
      <c r="J60" s="353"/>
    </row>
    <row r="61" spans="1:10">
      <c r="A61" s="332">
        <f t="shared" si="2"/>
        <v>5</v>
      </c>
      <c r="B61" s="22"/>
      <c r="C61" s="22"/>
      <c r="D61" s="22"/>
      <c r="E61" s="198"/>
      <c r="F61" s="28"/>
      <c r="G61" s="17"/>
      <c r="H61" s="332">
        <f t="shared" si="3"/>
        <v>5</v>
      </c>
      <c r="J61" s="353"/>
    </row>
    <row r="62" spans="1:10">
      <c r="A62" s="332">
        <f t="shared" si="2"/>
        <v>6</v>
      </c>
      <c r="B62" s="22" t="s">
        <v>61</v>
      </c>
      <c r="C62" s="19"/>
      <c r="D62" s="19"/>
      <c r="E62" s="873">
        <f>E60/E57</f>
        <v>5.7864935031086383E-3</v>
      </c>
      <c r="F62" s="671" t="s">
        <v>460</v>
      </c>
      <c r="G62" s="17" t="s">
        <v>492</v>
      </c>
      <c r="H62" s="332">
        <f t="shared" si="3"/>
        <v>6</v>
      </c>
      <c r="J62" s="353"/>
    </row>
    <row r="63" spans="1:10">
      <c r="A63" s="332">
        <f t="shared" si="2"/>
        <v>7</v>
      </c>
      <c r="B63" s="22"/>
      <c r="C63" s="22"/>
      <c r="D63" s="22"/>
      <c r="E63" s="370"/>
      <c r="F63" s="29"/>
      <c r="G63" s="17"/>
      <c r="H63" s="332">
        <f t="shared" si="3"/>
        <v>7</v>
      </c>
    </row>
    <row r="64" spans="1:10">
      <c r="A64" s="332">
        <f t="shared" si="2"/>
        <v>8</v>
      </c>
      <c r="B64" s="30" t="s">
        <v>62</v>
      </c>
      <c r="C64" s="30"/>
      <c r="D64" s="30"/>
      <c r="E64" s="941">
        <v>4655.1702999999998</v>
      </c>
      <c r="F64" s="18"/>
      <c r="G64" s="17" t="s">
        <v>674</v>
      </c>
      <c r="H64" s="332">
        <f t="shared" si="3"/>
        <v>8</v>
      </c>
    </row>
    <row r="65" spans="1:8">
      <c r="A65" s="332">
        <f t="shared" si="2"/>
        <v>9</v>
      </c>
      <c r="B65" s="19"/>
      <c r="C65" s="19"/>
      <c r="D65" s="19"/>
      <c r="E65" s="371"/>
      <c r="F65" s="31"/>
      <c r="G65" s="17"/>
      <c r="H65" s="332">
        <f t="shared" si="3"/>
        <v>9</v>
      </c>
    </row>
    <row r="66" spans="1:8">
      <c r="A66" s="332">
        <f t="shared" si="2"/>
        <v>10</v>
      </c>
      <c r="B66" s="22" t="s">
        <v>63</v>
      </c>
      <c r="C66" s="19"/>
      <c r="D66" s="19"/>
      <c r="E66" s="369">
        <f>E64/E57</f>
        <v>8.8670151163371222E-4</v>
      </c>
      <c r="F66" s="79"/>
      <c r="G66" s="17" t="s">
        <v>493</v>
      </c>
      <c r="H66" s="332">
        <f t="shared" si="3"/>
        <v>10</v>
      </c>
    </row>
    <row r="67" spans="1:8">
      <c r="A67" s="332">
        <f t="shared" si="2"/>
        <v>11</v>
      </c>
      <c r="B67" s="19"/>
      <c r="C67" s="19"/>
      <c r="D67" s="19"/>
      <c r="E67" s="371"/>
      <c r="F67" s="31"/>
      <c r="G67" s="17"/>
      <c r="H67" s="332">
        <f t="shared" si="3"/>
        <v>11</v>
      </c>
    </row>
    <row r="68" spans="1:8">
      <c r="A68" s="332">
        <f t="shared" si="2"/>
        <v>12</v>
      </c>
      <c r="B68" s="26" t="s">
        <v>64</v>
      </c>
      <c r="C68" s="26"/>
      <c r="D68" s="26"/>
      <c r="E68" s="380">
        <f>E60+E64</f>
        <v>35034.17873</v>
      </c>
      <c r="F68" s="671" t="s">
        <v>460</v>
      </c>
      <c r="G68" s="17" t="s">
        <v>441</v>
      </c>
      <c r="H68" s="332">
        <f t="shared" si="3"/>
        <v>12</v>
      </c>
    </row>
    <row r="69" spans="1:8">
      <c r="A69" s="332">
        <f t="shared" si="2"/>
        <v>13</v>
      </c>
      <c r="B69" s="19"/>
      <c r="C69" s="19"/>
      <c r="D69" s="19"/>
      <c r="E69" s="373"/>
      <c r="F69" s="32"/>
      <c r="G69" s="17"/>
      <c r="H69" s="332">
        <f t="shared" si="3"/>
        <v>13</v>
      </c>
    </row>
    <row r="70" spans="1:8">
      <c r="A70" s="332">
        <f t="shared" si="2"/>
        <v>14</v>
      </c>
      <c r="B70" s="21" t="s">
        <v>65</v>
      </c>
      <c r="C70" s="21"/>
      <c r="D70" s="21"/>
      <c r="E70" s="373"/>
      <c r="F70" s="32"/>
      <c r="G70" s="20"/>
      <c r="H70" s="332">
        <f t="shared" si="3"/>
        <v>14</v>
      </c>
    </row>
    <row r="71" spans="1:8">
      <c r="A71" s="332">
        <f t="shared" si="2"/>
        <v>15</v>
      </c>
      <c r="B71" s="22" t="s">
        <v>66</v>
      </c>
      <c r="C71" s="22"/>
      <c r="D71" s="22"/>
      <c r="E71" s="858">
        <f>'Pg9.1 As Filed Stmt AH FERC Adj'!F49</f>
        <v>31946.388544949888</v>
      </c>
      <c r="F71" s="671" t="s">
        <v>460</v>
      </c>
      <c r="G71" s="17" t="s">
        <v>707</v>
      </c>
      <c r="H71" s="332">
        <f t="shared" si="3"/>
        <v>15</v>
      </c>
    </row>
    <row r="72" spans="1:8">
      <c r="A72" s="332">
        <f t="shared" si="2"/>
        <v>16</v>
      </c>
      <c r="B72" s="19"/>
      <c r="C72" s="19"/>
      <c r="D72" s="19"/>
      <c r="E72" s="374"/>
      <c r="F72" s="33"/>
      <c r="G72" s="17"/>
      <c r="H72" s="332">
        <f t="shared" si="3"/>
        <v>16</v>
      </c>
    </row>
    <row r="73" spans="1:8">
      <c r="A73" s="332">
        <f t="shared" si="2"/>
        <v>17</v>
      </c>
      <c r="B73" s="351" t="s">
        <v>67</v>
      </c>
      <c r="C73" s="20"/>
      <c r="D73" s="20"/>
      <c r="E73" s="369">
        <f>E71/E57</f>
        <v>6.0850429068180327E-3</v>
      </c>
      <c r="F73" s="79"/>
      <c r="G73" s="17" t="s">
        <v>494</v>
      </c>
      <c r="H73" s="332">
        <f t="shared" si="3"/>
        <v>17</v>
      </c>
    </row>
    <row r="74" spans="1:8">
      <c r="A74" s="332">
        <f t="shared" si="2"/>
        <v>18</v>
      </c>
      <c r="B74" s="20"/>
      <c r="C74" s="20"/>
      <c r="D74" s="20"/>
      <c r="E74" s="375"/>
      <c r="F74" s="34"/>
      <c r="G74" s="17"/>
      <c r="H74" s="332">
        <f t="shared" si="3"/>
        <v>18</v>
      </c>
    </row>
    <row r="75" spans="1:8">
      <c r="A75" s="332">
        <f t="shared" si="2"/>
        <v>19</v>
      </c>
      <c r="B75" s="21" t="s">
        <v>68</v>
      </c>
      <c r="C75" s="21"/>
      <c r="D75" s="21"/>
      <c r="E75" s="375"/>
      <c r="F75" s="34"/>
      <c r="G75" s="17"/>
      <c r="H75" s="332">
        <f t="shared" si="3"/>
        <v>19</v>
      </c>
    </row>
    <row r="76" spans="1:8">
      <c r="A76" s="332">
        <f t="shared" si="2"/>
        <v>20</v>
      </c>
      <c r="B76" s="22" t="s">
        <v>69</v>
      </c>
      <c r="C76" s="22"/>
      <c r="D76" s="22"/>
      <c r="E76" s="519">
        <v>1441.8693798221736</v>
      </c>
      <c r="F76" s="18"/>
      <c r="G76" s="17" t="s">
        <v>495</v>
      </c>
      <c r="H76" s="332">
        <f t="shared" si="3"/>
        <v>20</v>
      </c>
    </row>
    <row r="77" spans="1:8">
      <c r="A77" s="332">
        <f t="shared" si="2"/>
        <v>21</v>
      </c>
      <c r="B77" s="20"/>
      <c r="C77" s="20"/>
      <c r="D77" s="20"/>
      <c r="E77" s="375"/>
      <c r="F77" s="34"/>
      <c r="G77" s="17"/>
      <c r="H77" s="332">
        <f t="shared" si="3"/>
        <v>21</v>
      </c>
    </row>
    <row r="78" spans="1:8">
      <c r="A78" s="332">
        <f t="shared" si="2"/>
        <v>22</v>
      </c>
      <c r="B78" s="351" t="s">
        <v>70</v>
      </c>
      <c r="C78" s="20"/>
      <c r="D78" s="20"/>
      <c r="E78" s="369">
        <f>E76/E57</f>
        <v>2.7464253212534126E-4</v>
      </c>
      <c r="F78" s="79"/>
      <c r="G78" s="17" t="s">
        <v>496</v>
      </c>
      <c r="H78" s="332">
        <f t="shared" si="3"/>
        <v>22</v>
      </c>
    </row>
    <row r="79" spans="1:8">
      <c r="A79" s="332">
        <f t="shared" si="2"/>
        <v>23</v>
      </c>
      <c r="B79" s="20"/>
      <c r="C79" s="20"/>
      <c r="D79" s="20"/>
      <c r="E79" s="375"/>
      <c r="F79" s="34"/>
      <c r="G79" s="17"/>
      <c r="H79" s="332">
        <f t="shared" si="3"/>
        <v>23</v>
      </c>
    </row>
    <row r="80" spans="1:8">
      <c r="A80" s="332">
        <f t="shared" si="2"/>
        <v>24</v>
      </c>
      <c r="B80" s="21" t="s">
        <v>71</v>
      </c>
      <c r="C80" s="21"/>
      <c r="D80" s="21"/>
      <c r="E80" s="375"/>
      <c r="F80" s="34"/>
      <c r="G80" s="17"/>
      <c r="H80" s="332">
        <f t="shared" si="3"/>
        <v>24</v>
      </c>
    </row>
    <row r="81" spans="1:8">
      <c r="A81" s="332">
        <f t="shared" si="2"/>
        <v>25</v>
      </c>
      <c r="B81" s="22" t="s">
        <v>72</v>
      </c>
      <c r="C81" s="19"/>
      <c r="D81" s="19"/>
      <c r="E81" s="376">
        <f>E126</f>
        <v>3.7280226056417248E-3</v>
      </c>
      <c r="F81" s="79"/>
      <c r="G81" s="17" t="s">
        <v>497</v>
      </c>
      <c r="H81" s="332">
        <f t="shared" si="3"/>
        <v>25</v>
      </c>
    </row>
    <row r="82" spans="1:8">
      <c r="A82" s="332">
        <f t="shared" si="2"/>
        <v>26</v>
      </c>
      <c r="B82" s="19"/>
      <c r="C82" s="19"/>
      <c r="D82" s="19"/>
      <c r="E82" s="377"/>
      <c r="F82" s="35"/>
      <c r="G82" s="17"/>
      <c r="H82" s="332">
        <f t="shared" si="3"/>
        <v>26</v>
      </c>
    </row>
    <row r="83" spans="1:8">
      <c r="A83" s="332">
        <f t="shared" si="2"/>
        <v>27</v>
      </c>
      <c r="B83" s="21" t="s">
        <v>73</v>
      </c>
      <c r="C83" s="21"/>
      <c r="D83" s="21"/>
      <c r="E83" s="377"/>
      <c r="F83" s="35"/>
      <c r="G83" s="17"/>
      <c r="H83" s="332">
        <f t="shared" si="3"/>
        <v>27</v>
      </c>
    </row>
    <row r="84" spans="1:8">
      <c r="A84" s="332">
        <f t="shared" si="2"/>
        <v>28</v>
      </c>
      <c r="B84" s="352" t="s">
        <v>74</v>
      </c>
      <c r="C84" s="19"/>
      <c r="D84" s="19"/>
      <c r="E84" s="377"/>
      <c r="F84" s="35"/>
      <c r="G84" s="17"/>
      <c r="H84" s="332">
        <f t="shared" si="3"/>
        <v>28</v>
      </c>
    </row>
    <row r="85" spans="1:8">
      <c r="A85" s="332">
        <f t="shared" si="2"/>
        <v>29</v>
      </c>
      <c r="B85" s="22" t="s">
        <v>75</v>
      </c>
      <c r="C85" s="22"/>
      <c r="D85" s="22"/>
      <c r="E85" s="859">
        <v>46125.610034466292</v>
      </c>
      <c r="F85" s="671" t="s">
        <v>460</v>
      </c>
      <c r="G85" s="17" t="s">
        <v>708</v>
      </c>
      <c r="H85" s="332">
        <f t="shared" si="3"/>
        <v>29</v>
      </c>
    </row>
    <row r="86" spans="1:8">
      <c r="A86" s="332">
        <f t="shared" si="2"/>
        <v>30</v>
      </c>
      <c r="B86" s="22" t="s">
        <v>76</v>
      </c>
      <c r="C86" s="22"/>
      <c r="D86" s="22"/>
      <c r="E86" s="860">
        <v>17171.110417166059</v>
      </c>
      <c r="F86" s="671" t="s">
        <v>460</v>
      </c>
      <c r="G86" s="17" t="s">
        <v>709</v>
      </c>
      <c r="H86" s="332">
        <f t="shared" si="3"/>
        <v>30</v>
      </c>
    </row>
    <row r="87" spans="1:8">
      <c r="A87" s="332">
        <f t="shared" si="2"/>
        <v>31</v>
      </c>
      <c r="B87" s="22" t="s">
        <v>77</v>
      </c>
      <c r="C87" s="22"/>
      <c r="D87" s="22"/>
      <c r="E87" s="860">
        <v>8372.5709093687365</v>
      </c>
      <c r="F87" s="671" t="s">
        <v>460</v>
      </c>
      <c r="G87" s="17" t="s">
        <v>710</v>
      </c>
      <c r="H87" s="332">
        <f t="shared" si="3"/>
        <v>31</v>
      </c>
    </row>
    <row r="88" spans="1:8">
      <c r="A88" s="332">
        <f t="shared" si="2"/>
        <v>32</v>
      </c>
      <c r="B88" s="22" t="s">
        <v>78</v>
      </c>
      <c r="C88" s="19"/>
      <c r="D88" s="19"/>
      <c r="E88" s="861">
        <f>SUM(E85:E87)</f>
        <v>71669.291361001087</v>
      </c>
      <c r="F88" s="671" t="s">
        <v>460</v>
      </c>
      <c r="G88" s="17" t="s">
        <v>498</v>
      </c>
      <c r="H88" s="332">
        <f t="shared" si="3"/>
        <v>32</v>
      </c>
    </row>
    <row r="89" spans="1:8">
      <c r="A89" s="332">
        <f t="shared" si="2"/>
        <v>33</v>
      </c>
      <c r="B89" s="19"/>
      <c r="C89" s="19"/>
      <c r="D89" s="19"/>
      <c r="E89" s="380"/>
      <c r="F89" s="36"/>
      <c r="G89" s="17"/>
      <c r="H89" s="332">
        <f t="shared" si="3"/>
        <v>33</v>
      </c>
    </row>
    <row r="90" spans="1:8">
      <c r="A90" s="332">
        <f t="shared" si="2"/>
        <v>34</v>
      </c>
      <c r="B90" s="22" t="s">
        <v>35</v>
      </c>
      <c r="C90" s="22"/>
      <c r="D90" s="22"/>
      <c r="E90" s="912">
        <f>'Pg12 As Filed Stmt AV FERC Adj'!G113</f>
        <v>9.635088218301012E-2</v>
      </c>
      <c r="F90" s="671" t="s">
        <v>460</v>
      </c>
      <c r="G90" s="17" t="s">
        <v>711</v>
      </c>
      <c r="H90" s="332">
        <f t="shared" si="3"/>
        <v>34</v>
      </c>
    </row>
    <row r="91" spans="1:8">
      <c r="A91" s="332">
        <f t="shared" si="2"/>
        <v>35</v>
      </c>
      <c r="B91" s="19"/>
      <c r="C91" s="19"/>
      <c r="D91" s="19"/>
      <c r="E91" s="380"/>
      <c r="F91" s="36"/>
      <c r="G91" s="17"/>
      <c r="H91" s="332">
        <f t="shared" si="3"/>
        <v>35</v>
      </c>
    </row>
    <row r="92" spans="1:8">
      <c r="A92" s="332">
        <f t="shared" si="2"/>
        <v>36</v>
      </c>
      <c r="B92" s="22" t="s">
        <v>79</v>
      </c>
      <c r="C92" s="19"/>
      <c r="D92" s="19"/>
      <c r="E92" s="874">
        <f>E88*E90</f>
        <v>6905.3994480636411</v>
      </c>
      <c r="F92" s="671" t="s">
        <v>460</v>
      </c>
      <c r="G92" s="17" t="s">
        <v>413</v>
      </c>
      <c r="H92" s="332">
        <f t="shared" si="3"/>
        <v>36</v>
      </c>
    </row>
    <row r="93" spans="1:8">
      <c r="A93" s="332">
        <f t="shared" si="2"/>
        <v>37</v>
      </c>
      <c r="B93" s="19"/>
      <c r="C93" s="19"/>
      <c r="D93" s="19"/>
      <c r="E93" s="380"/>
      <c r="F93" s="36"/>
      <c r="G93" s="17"/>
      <c r="H93" s="332">
        <f t="shared" si="3"/>
        <v>37</v>
      </c>
    </row>
    <row r="94" spans="1:8">
      <c r="A94" s="332">
        <f t="shared" si="2"/>
        <v>38</v>
      </c>
      <c r="B94" s="22" t="s">
        <v>80</v>
      </c>
      <c r="C94" s="19"/>
      <c r="D94" s="19"/>
      <c r="E94" s="369">
        <f>E92/E57</f>
        <v>1.315317750895737E-3</v>
      </c>
      <c r="F94" s="79"/>
      <c r="G94" s="17" t="s">
        <v>499</v>
      </c>
      <c r="H94" s="332">
        <f t="shared" si="3"/>
        <v>38</v>
      </c>
    </row>
    <row r="95" spans="1:8">
      <c r="A95" s="332"/>
      <c r="B95" s="22"/>
      <c r="C95" s="19"/>
      <c r="D95" s="19"/>
      <c r="E95" s="369"/>
      <c r="F95" s="79"/>
      <c r="G95" s="17"/>
      <c r="H95" s="332"/>
    </row>
    <row r="96" spans="1:8">
      <c r="A96" s="332"/>
      <c r="B96" s="22"/>
      <c r="C96" s="19"/>
      <c r="D96" s="19"/>
      <c r="E96" s="350"/>
      <c r="F96" s="79"/>
      <c r="G96" s="17"/>
      <c r="H96" s="332"/>
    </row>
    <row r="97" spans="1:8">
      <c r="A97" s="671" t="s">
        <v>460</v>
      </c>
      <c r="B97" s="5" t="s">
        <v>687</v>
      </c>
      <c r="C97" s="19"/>
      <c r="D97" s="19"/>
      <c r="E97" s="56"/>
      <c r="F97" s="56"/>
      <c r="G97" s="56"/>
      <c r="H97" s="330"/>
    </row>
    <row r="98" spans="1:8">
      <c r="A98" s="671"/>
      <c r="B98" s="5"/>
      <c r="C98" s="19"/>
      <c r="D98" s="19"/>
      <c r="E98" s="56"/>
      <c r="F98" s="56"/>
      <c r="G98" s="56"/>
      <c r="H98" s="330"/>
    </row>
    <row r="99" spans="1:8">
      <c r="A99" s="671"/>
      <c r="B99" s="5"/>
      <c r="C99" s="19"/>
      <c r="D99" s="19"/>
      <c r="E99" s="56"/>
      <c r="F99" s="56"/>
      <c r="G99" s="56"/>
      <c r="H99" s="330"/>
    </row>
    <row r="100" spans="1:8">
      <c r="B100" s="1017" t="s">
        <v>57</v>
      </c>
      <c r="C100" s="1017"/>
      <c r="D100" s="1017"/>
      <c r="E100" s="1017"/>
      <c r="F100" s="1017"/>
      <c r="G100" s="1017"/>
      <c r="H100" s="334"/>
    </row>
    <row r="101" spans="1:8">
      <c r="B101" s="1017" t="s">
        <v>32</v>
      </c>
      <c r="C101" s="1017"/>
      <c r="D101" s="1017"/>
      <c r="E101" s="1017"/>
      <c r="F101" s="1017"/>
      <c r="G101" s="1017"/>
      <c r="H101" s="334"/>
    </row>
    <row r="102" spans="1:8">
      <c r="B102" s="1017" t="s">
        <v>38</v>
      </c>
      <c r="C102" s="1017"/>
      <c r="D102" s="1017"/>
      <c r="E102" s="1017"/>
      <c r="F102" s="1017"/>
      <c r="G102" s="1017"/>
      <c r="H102" s="334"/>
    </row>
    <row r="103" spans="1:8">
      <c r="B103" s="1018" t="str">
        <f>B6</f>
        <v>Base Period &amp; True-Up Period 12 - Months Ending December 31, 2017</v>
      </c>
      <c r="C103" s="1018"/>
      <c r="D103" s="1018"/>
      <c r="E103" s="1018"/>
      <c r="F103" s="1018"/>
      <c r="G103" s="1018"/>
      <c r="H103" s="334"/>
    </row>
    <row r="104" spans="1:8">
      <c r="B104" s="1013" t="s">
        <v>1</v>
      </c>
      <c r="C104" s="1013"/>
      <c r="D104" s="1013"/>
      <c r="E104" s="1013"/>
      <c r="F104" s="1013"/>
      <c r="G104" s="1013"/>
      <c r="H104" s="111"/>
    </row>
    <row r="105" spans="1:8">
      <c r="A105" s="331"/>
      <c r="B105" s="52"/>
      <c r="C105" s="52"/>
      <c r="D105" s="52"/>
      <c r="E105" s="19"/>
      <c r="F105" s="19"/>
      <c r="G105" s="56"/>
      <c r="H105" s="325"/>
    </row>
    <row r="106" spans="1:8">
      <c r="A106" s="332" t="s">
        <v>2</v>
      </c>
      <c r="B106" s="19"/>
      <c r="C106" s="19"/>
      <c r="D106" s="19"/>
      <c r="E106" s="18"/>
      <c r="F106" s="18"/>
      <c r="G106" s="19"/>
      <c r="H106" s="332" t="s">
        <v>2</v>
      </c>
    </row>
    <row r="107" spans="1:8">
      <c r="A107" s="332" t="s">
        <v>3</v>
      </c>
      <c r="B107" s="19"/>
      <c r="C107" s="19"/>
      <c r="D107" s="19"/>
      <c r="E107" s="321" t="s">
        <v>33</v>
      </c>
      <c r="F107" s="17"/>
      <c r="G107" s="321" t="s">
        <v>5</v>
      </c>
      <c r="H107" s="332" t="s">
        <v>3</v>
      </c>
    </row>
    <row r="108" spans="1:8">
      <c r="A108" s="332"/>
      <c r="B108" s="19"/>
      <c r="C108" s="19"/>
      <c r="D108" s="19"/>
      <c r="E108" s="18"/>
      <c r="F108" s="18"/>
      <c r="G108" s="520"/>
      <c r="H108" s="332"/>
    </row>
    <row r="109" spans="1:8">
      <c r="A109" s="332">
        <v>1</v>
      </c>
      <c r="B109" s="21" t="s">
        <v>81</v>
      </c>
      <c r="C109" s="21"/>
      <c r="D109" s="21"/>
      <c r="E109" s="56"/>
      <c r="F109" s="56"/>
      <c r="G109" s="19"/>
      <c r="H109" s="332">
        <f>A109</f>
        <v>1</v>
      </c>
    </row>
    <row r="110" spans="1:8">
      <c r="A110" s="332">
        <f>A109+1</f>
        <v>2</v>
      </c>
      <c r="B110" s="22" t="s">
        <v>82</v>
      </c>
      <c r="C110" s="22"/>
      <c r="D110" s="22"/>
      <c r="E110" s="862">
        <v>791935.35630818945</v>
      </c>
      <c r="F110" s="671" t="s">
        <v>460</v>
      </c>
      <c r="G110" s="17" t="s">
        <v>712</v>
      </c>
      <c r="H110" s="332">
        <f>H109+1</f>
        <v>2</v>
      </c>
    </row>
    <row r="111" spans="1:8">
      <c r="A111" s="332">
        <f t="shared" ref="A111:A166" si="4">A110+1</f>
        <v>3</v>
      </c>
      <c r="B111" s="22"/>
      <c r="C111" s="22"/>
      <c r="D111" s="22"/>
      <c r="E111" s="336"/>
      <c r="F111" s="18"/>
      <c r="G111" s="17"/>
      <c r="H111" s="332">
        <f t="shared" ref="H111:H166" si="5">H110+1</f>
        <v>3</v>
      </c>
    </row>
    <row r="112" spans="1:8">
      <c r="A112" s="332">
        <f t="shared" si="4"/>
        <v>4</v>
      </c>
      <c r="B112" s="22" t="s">
        <v>83</v>
      </c>
      <c r="C112" s="22"/>
      <c r="D112" s="22"/>
      <c r="E112" s="863">
        <v>361309.36050350004</v>
      </c>
      <c r="F112" s="671" t="s">
        <v>460</v>
      </c>
      <c r="G112" s="17" t="s">
        <v>713</v>
      </c>
      <c r="H112" s="332">
        <f t="shared" si="5"/>
        <v>4</v>
      </c>
    </row>
    <row r="113" spans="1:8" ht="18">
      <c r="A113" s="332">
        <f t="shared" si="4"/>
        <v>5</v>
      </c>
      <c r="B113" s="19"/>
      <c r="C113" s="19"/>
      <c r="D113" s="19"/>
      <c r="E113" s="384"/>
      <c r="F113" s="37"/>
      <c r="G113" s="19"/>
      <c r="H113" s="332">
        <f t="shared" si="5"/>
        <v>5</v>
      </c>
    </row>
    <row r="114" spans="1:8">
      <c r="A114" s="332">
        <f t="shared" si="4"/>
        <v>6</v>
      </c>
      <c r="B114" s="22" t="s">
        <v>84</v>
      </c>
      <c r="C114" s="19"/>
      <c r="D114" s="19"/>
      <c r="E114" s="864">
        <f>E110+E112</f>
        <v>1153244.7168116895</v>
      </c>
      <c r="F114" s="671" t="s">
        <v>460</v>
      </c>
      <c r="G114" s="17" t="s">
        <v>500</v>
      </c>
      <c r="H114" s="332">
        <f t="shared" si="5"/>
        <v>6</v>
      </c>
    </row>
    <row r="115" spans="1:8">
      <c r="A115" s="332">
        <f t="shared" si="4"/>
        <v>7</v>
      </c>
      <c r="B115" s="19"/>
      <c r="C115" s="19"/>
      <c r="D115" s="19"/>
      <c r="E115" s="386"/>
      <c r="F115" s="38"/>
      <c r="G115" s="19"/>
      <c r="H115" s="332">
        <f t="shared" si="5"/>
        <v>7</v>
      </c>
    </row>
    <row r="116" spans="1:8">
      <c r="A116" s="332">
        <f t="shared" si="4"/>
        <v>8</v>
      </c>
      <c r="B116" s="22" t="s">
        <v>85</v>
      </c>
      <c r="C116" s="22"/>
      <c r="D116" s="22"/>
      <c r="E116" s="387">
        <f>E145</f>
        <v>0.16474909674745464</v>
      </c>
      <c r="F116" s="671"/>
      <c r="G116" s="17" t="s">
        <v>501</v>
      </c>
      <c r="H116" s="332">
        <f t="shared" si="5"/>
        <v>8</v>
      </c>
    </row>
    <row r="117" spans="1:8">
      <c r="A117" s="332">
        <f t="shared" si="4"/>
        <v>9</v>
      </c>
      <c r="B117" s="19"/>
      <c r="C117" s="19"/>
      <c r="D117" s="19"/>
      <c r="E117" s="388"/>
      <c r="F117" s="39"/>
      <c r="G117" s="19"/>
      <c r="H117" s="332">
        <f t="shared" si="5"/>
        <v>9</v>
      </c>
    </row>
    <row r="118" spans="1:8">
      <c r="A118" s="332">
        <f t="shared" si="4"/>
        <v>10</v>
      </c>
      <c r="B118" s="22" t="s">
        <v>86</v>
      </c>
      <c r="C118" s="19"/>
      <c r="D118" s="19"/>
      <c r="E118" s="723">
        <f>E114*E116</f>
        <v>189996.02542349996</v>
      </c>
      <c r="F118" s="671" t="s">
        <v>460</v>
      </c>
      <c r="G118" s="17" t="s">
        <v>502</v>
      </c>
      <c r="H118" s="332">
        <f t="shared" si="5"/>
        <v>10</v>
      </c>
    </row>
    <row r="119" spans="1:8">
      <c r="A119" s="332">
        <f t="shared" si="4"/>
        <v>11</v>
      </c>
      <c r="B119" s="19"/>
      <c r="C119" s="19"/>
      <c r="D119" s="19"/>
      <c r="E119" s="386"/>
      <c r="F119" s="38"/>
      <c r="G119" s="19"/>
      <c r="H119" s="332">
        <f t="shared" si="5"/>
        <v>11</v>
      </c>
    </row>
    <row r="120" spans="1:8">
      <c r="A120" s="332">
        <f t="shared" si="4"/>
        <v>12</v>
      </c>
      <c r="B120" s="40" t="s">
        <v>87</v>
      </c>
      <c r="C120" s="40"/>
      <c r="D120" s="40"/>
      <c r="E120" s="390">
        <v>0.10301302624215687</v>
      </c>
      <c r="F120" s="18"/>
      <c r="G120" s="17" t="s">
        <v>503</v>
      </c>
      <c r="H120" s="332">
        <f t="shared" si="5"/>
        <v>12</v>
      </c>
    </row>
    <row r="121" spans="1:8">
      <c r="A121" s="332">
        <f t="shared" si="4"/>
        <v>13</v>
      </c>
      <c r="B121" s="19"/>
      <c r="C121" s="19"/>
      <c r="D121" s="19"/>
      <c r="E121" s="388"/>
      <c r="F121" s="39"/>
      <c r="G121" s="17"/>
      <c r="H121" s="332">
        <f t="shared" si="5"/>
        <v>13</v>
      </c>
    </row>
    <row r="122" spans="1:8">
      <c r="A122" s="332">
        <f t="shared" si="4"/>
        <v>14</v>
      </c>
      <c r="B122" s="22" t="s">
        <v>88</v>
      </c>
      <c r="C122" s="19"/>
      <c r="D122" s="19"/>
      <c r="E122" s="875">
        <f>E118*E120</f>
        <v>19572.065552856504</v>
      </c>
      <c r="F122" s="671" t="s">
        <v>460</v>
      </c>
      <c r="G122" s="17" t="s">
        <v>504</v>
      </c>
      <c r="H122" s="332">
        <f t="shared" si="5"/>
        <v>14</v>
      </c>
    </row>
    <row r="123" spans="1:8">
      <c r="A123" s="332">
        <f t="shared" si="4"/>
        <v>15</v>
      </c>
      <c r="B123" s="19"/>
      <c r="C123" s="19"/>
      <c r="D123" s="19"/>
      <c r="E123" s="331"/>
      <c r="F123" s="56"/>
      <c r="G123" s="19"/>
      <c r="H123" s="332">
        <f t="shared" si="5"/>
        <v>15</v>
      </c>
    </row>
    <row r="124" spans="1:8">
      <c r="A124" s="332">
        <f t="shared" si="4"/>
        <v>16</v>
      </c>
      <c r="B124" s="22" t="s">
        <v>58</v>
      </c>
      <c r="C124" s="22"/>
      <c r="D124" s="22"/>
      <c r="E124" s="865">
        <v>5249985.7493453845</v>
      </c>
      <c r="F124" s="671" t="s">
        <v>460</v>
      </c>
      <c r="G124" s="17" t="s">
        <v>705</v>
      </c>
      <c r="H124" s="332">
        <f t="shared" si="5"/>
        <v>16</v>
      </c>
    </row>
    <row r="125" spans="1:8">
      <c r="A125" s="332">
        <f t="shared" si="4"/>
        <v>17</v>
      </c>
      <c r="B125" s="19"/>
      <c r="C125" s="19"/>
      <c r="D125" s="19"/>
      <c r="E125" s="521"/>
      <c r="F125" s="19"/>
      <c r="G125" s="19"/>
      <c r="H125" s="332">
        <f t="shared" si="5"/>
        <v>17</v>
      </c>
    </row>
    <row r="126" spans="1:8" ht="16" thickBot="1">
      <c r="A126" s="332">
        <f t="shared" si="4"/>
        <v>18</v>
      </c>
      <c r="B126" s="19" t="s">
        <v>89</v>
      </c>
      <c r="C126" s="19"/>
      <c r="D126" s="19"/>
      <c r="E126" s="522">
        <f>E122/E124</f>
        <v>3.7280226056417248E-3</v>
      </c>
      <c r="F126" s="79"/>
      <c r="G126" s="17" t="s">
        <v>505</v>
      </c>
      <c r="H126" s="332">
        <f t="shared" si="5"/>
        <v>18</v>
      </c>
    </row>
    <row r="127" spans="1:8" ht="16" thickTop="1">
      <c r="A127" s="332">
        <f t="shared" si="4"/>
        <v>19</v>
      </c>
      <c r="B127" s="19"/>
      <c r="C127" s="19"/>
      <c r="D127" s="19"/>
      <c r="E127" s="331"/>
      <c r="F127" s="56"/>
      <c r="G127" s="19"/>
      <c r="H127" s="332">
        <f t="shared" si="5"/>
        <v>19</v>
      </c>
    </row>
    <row r="128" spans="1:8">
      <c r="A128" s="332">
        <f t="shared" si="4"/>
        <v>20</v>
      </c>
      <c r="B128" s="41" t="s">
        <v>90</v>
      </c>
      <c r="C128" s="41"/>
      <c r="D128" s="41"/>
      <c r="E128" s="330"/>
      <c r="F128" s="18"/>
      <c r="G128" s="18"/>
      <c r="H128" s="332">
        <f t="shared" si="5"/>
        <v>20</v>
      </c>
    </row>
    <row r="129" spans="1:8">
      <c r="A129" s="332">
        <f t="shared" si="4"/>
        <v>21</v>
      </c>
      <c r="B129" s="22" t="s">
        <v>91</v>
      </c>
      <c r="C129" s="22"/>
      <c r="D129" s="22"/>
      <c r="E129" s="393">
        <v>0</v>
      </c>
      <c r="F129" s="18"/>
      <c r="G129" s="17" t="s">
        <v>92</v>
      </c>
      <c r="H129" s="332">
        <f t="shared" si="5"/>
        <v>21</v>
      </c>
    </row>
    <row r="130" spans="1:8">
      <c r="A130" s="332">
        <f t="shared" si="4"/>
        <v>22</v>
      </c>
      <c r="B130" s="19"/>
      <c r="C130" s="19"/>
      <c r="D130" s="19"/>
      <c r="E130" s="330"/>
      <c r="F130" s="18"/>
      <c r="G130" s="17"/>
      <c r="H130" s="332">
        <f t="shared" si="5"/>
        <v>22</v>
      </c>
    </row>
    <row r="131" spans="1:8">
      <c r="A131" s="332">
        <f t="shared" si="4"/>
        <v>23</v>
      </c>
      <c r="B131" s="22" t="s">
        <v>93</v>
      </c>
      <c r="C131" s="22"/>
      <c r="D131" s="22"/>
      <c r="E131" s="393">
        <v>0</v>
      </c>
      <c r="F131" s="18"/>
      <c r="G131" s="17" t="s">
        <v>94</v>
      </c>
      <c r="H131" s="332">
        <f t="shared" si="5"/>
        <v>23</v>
      </c>
    </row>
    <row r="132" spans="1:8">
      <c r="A132" s="332">
        <f t="shared" si="4"/>
        <v>24</v>
      </c>
      <c r="B132" s="19"/>
      <c r="C132" s="19"/>
      <c r="D132" s="19"/>
      <c r="E132" s="330"/>
      <c r="F132" s="18"/>
      <c r="G132" s="17"/>
      <c r="H132" s="332">
        <f t="shared" si="5"/>
        <v>24</v>
      </c>
    </row>
    <row r="133" spans="1:8">
      <c r="A133" s="332">
        <f t="shared" si="4"/>
        <v>25</v>
      </c>
      <c r="B133" s="22" t="s">
        <v>95</v>
      </c>
      <c r="C133" s="22"/>
      <c r="D133" s="22"/>
      <c r="E133" s="393">
        <v>0</v>
      </c>
      <c r="F133" s="18"/>
      <c r="G133" s="17" t="s">
        <v>92</v>
      </c>
      <c r="H133" s="332">
        <f t="shared" si="5"/>
        <v>25</v>
      </c>
    </row>
    <row r="134" spans="1:8">
      <c r="A134" s="332">
        <f t="shared" si="4"/>
        <v>26</v>
      </c>
      <c r="B134" s="19"/>
      <c r="C134" s="19"/>
      <c r="D134" s="19"/>
      <c r="E134" s="330"/>
      <c r="F134" s="18"/>
      <c r="G134" s="19"/>
      <c r="H134" s="332">
        <f t="shared" si="5"/>
        <v>26</v>
      </c>
    </row>
    <row r="135" spans="1:8">
      <c r="A135" s="332">
        <f t="shared" si="4"/>
        <v>27</v>
      </c>
      <c r="B135" s="22" t="s">
        <v>96</v>
      </c>
      <c r="C135" s="22"/>
      <c r="D135" s="22"/>
      <c r="E135" s="396">
        <f>E154</f>
        <v>6.8398214564444518E-2</v>
      </c>
      <c r="F135" s="671" t="s">
        <v>460</v>
      </c>
      <c r="G135" s="17" t="s">
        <v>506</v>
      </c>
      <c r="H135" s="332">
        <f t="shared" si="5"/>
        <v>27</v>
      </c>
    </row>
    <row r="136" spans="1:8">
      <c r="A136" s="332">
        <f t="shared" si="4"/>
        <v>28</v>
      </c>
      <c r="B136" s="22"/>
      <c r="C136" s="22"/>
      <c r="D136" s="22"/>
      <c r="E136" s="330"/>
      <c r="F136" s="18"/>
      <c r="G136" s="19"/>
      <c r="H136" s="332">
        <f t="shared" si="5"/>
        <v>28</v>
      </c>
    </row>
    <row r="137" spans="1:8" ht="18.5">
      <c r="A137" s="332">
        <f t="shared" si="4"/>
        <v>29</v>
      </c>
      <c r="B137" s="22" t="s">
        <v>97</v>
      </c>
      <c r="C137" s="22"/>
      <c r="D137" s="22"/>
      <c r="E137" s="356">
        <f>'Pg12 As Filed Stmt AV FERC Adj'!G109</f>
        <v>2.2000934949959809E-2</v>
      </c>
      <c r="F137" s="18"/>
      <c r="G137" s="17" t="s">
        <v>714</v>
      </c>
      <c r="H137" s="332">
        <f t="shared" si="5"/>
        <v>29</v>
      </c>
    </row>
    <row r="138" spans="1:8">
      <c r="A138" s="332">
        <f t="shared" si="4"/>
        <v>30</v>
      </c>
      <c r="B138" s="22"/>
      <c r="C138" s="22"/>
      <c r="D138" s="22"/>
      <c r="E138" s="395"/>
      <c r="F138" s="42"/>
      <c r="G138" s="19"/>
      <c r="H138" s="332">
        <f t="shared" si="5"/>
        <v>30</v>
      </c>
    </row>
    <row r="139" spans="1:8">
      <c r="A139" s="332">
        <f t="shared" si="4"/>
        <v>31</v>
      </c>
      <c r="B139" s="22" t="s">
        <v>98</v>
      </c>
      <c r="C139" s="22"/>
      <c r="D139" s="22"/>
      <c r="E139" s="356">
        <f>'Pg12 As Filed Stmt AV FERC Adj'!G111</f>
        <v>7.4349947233050315E-2</v>
      </c>
      <c r="F139" s="18"/>
      <c r="G139" s="17" t="s">
        <v>715</v>
      </c>
      <c r="H139" s="332">
        <f t="shared" si="5"/>
        <v>31</v>
      </c>
    </row>
    <row r="140" spans="1:8">
      <c r="A140" s="332">
        <f t="shared" si="4"/>
        <v>32</v>
      </c>
      <c r="B140" s="22"/>
      <c r="C140" s="22"/>
      <c r="D140" s="22"/>
      <c r="E140" s="395"/>
      <c r="F140" s="42"/>
      <c r="G140" s="19"/>
      <c r="H140" s="332">
        <f t="shared" si="5"/>
        <v>32</v>
      </c>
    </row>
    <row r="141" spans="1:8">
      <c r="A141" s="332">
        <f t="shared" si="4"/>
        <v>33</v>
      </c>
      <c r="B141" s="22" t="s">
        <v>99</v>
      </c>
      <c r="C141" s="22"/>
      <c r="D141" s="22"/>
      <c r="E141" s="393">
        <v>0</v>
      </c>
      <c r="F141" s="18"/>
      <c r="G141" s="17" t="s">
        <v>100</v>
      </c>
      <c r="H141" s="332">
        <f t="shared" si="5"/>
        <v>33</v>
      </c>
    </row>
    <row r="142" spans="1:8">
      <c r="A142" s="332">
        <f t="shared" si="4"/>
        <v>34</v>
      </c>
      <c r="B142" s="43"/>
      <c r="C142" s="43"/>
      <c r="D142" s="43"/>
      <c r="E142" s="330"/>
      <c r="F142" s="18"/>
      <c r="G142" s="19"/>
      <c r="H142" s="332">
        <f t="shared" si="5"/>
        <v>34</v>
      </c>
    </row>
    <row r="143" spans="1:8">
      <c r="A143" s="332">
        <f t="shared" si="4"/>
        <v>35</v>
      </c>
      <c r="B143" s="22" t="s">
        <v>101</v>
      </c>
      <c r="C143" s="22"/>
      <c r="D143" s="22"/>
      <c r="E143" s="363">
        <f>E166</f>
        <v>0</v>
      </c>
      <c r="F143" s="311"/>
      <c r="G143" s="17" t="s">
        <v>507</v>
      </c>
      <c r="H143" s="332">
        <f t="shared" si="5"/>
        <v>35</v>
      </c>
    </row>
    <row r="144" spans="1:8">
      <c r="A144" s="332">
        <f t="shared" si="4"/>
        <v>36</v>
      </c>
      <c r="B144" s="19"/>
      <c r="C144" s="19"/>
      <c r="D144" s="19"/>
      <c r="E144" s="523"/>
      <c r="F144" s="18"/>
      <c r="G144" s="19"/>
      <c r="H144" s="332">
        <f t="shared" si="5"/>
        <v>36</v>
      </c>
    </row>
    <row r="145" spans="1:8" ht="16" thickBot="1">
      <c r="A145" s="332">
        <f t="shared" si="4"/>
        <v>37</v>
      </c>
      <c r="B145" s="19" t="s">
        <v>102</v>
      </c>
      <c r="C145" s="19"/>
      <c r="D145" s="19"/>
      <c r="E145" s="524">
        <f>SUM(E129:E143)</f>
        <v>0.16474909674745464</v>
      </c>
      <c r="F145" s="671"/>
      <c r="G145" s="17" t="s">
        <v>508</v>
      </c>
      <c r="H145" s="332">
        <f t="shared" si="5"/>
        <v>37</v>
      </c>
    </row>
    <row r="146" spans="1:8" ht="16" thickTop="1">
      <c r="A146" s="332">
        <f t="shared" si="4"/>
        <v>38</v>
      </c>
      <c r="B146" s="19"/>
      <c r="C146" s="19"/>
      <c r="D146" s="19"/>
      <c r="E146" s="396"/>
      <c r="F146" s="44"/>
      <c r="G146" s="17"/>
      <c r="H146" s="332">
        <f t="shared" si="5"/>
        <v>38</v>
      </c>
    </row>
    <row r="147" spans="1:8">
      <c r="A147" s="332">
        <f t="shared" si="4"/>
        <v>39</v>
      </c>
      <c r="B147" s="21" t="s">
        <v>103</v>
      </c>
      <c r="C147" s="21"/>
      <c r="D147" s="21"/>
      <c r="E147" s="334"/>
      <c r="F147" s="19"/>
      <c r="G147" s="18"/>
      <c r="H147" s="332">
        <f t="shared" si="5"/>
        <v>39</v>
      </c>
    </row>
    <row r="148" spans="1:8">
      <c r="A148" s="332">
        <f t="shared" si="4"/>
        <v>40</v>
      </c>
      <c r="B148" s="22" t="s">
        <v>104</v>
      </c>
      <c r="C148" s="22"/>
      <c r="D148" s="22"/>
      <c r="E148" s="866">
        <v>63083.887755798001</v>
      </c>
      <c r="F148" s="671" t="s">
        <v>460</v>
      </c>
      <c r="G148" s="17" t="s">
        <v>716</v>
      </c>
      <c r="H148" s="332">
        <f t="shared" si="5"/>
        <v>40</v>
      </c>
    </row>
    <row r="149" spans="1:8">
      <c r="A149" s="332">
        <f t="shared" si="4"/>
        <v>41</v>
      </c>
      <c r="B149" s="22"/>
      <c r="C149" s="22"/>
      <c r="D149" s="22"/>
      <c r="E149" s="867"/>
      <c r="F149" s="45"/>
      <c r="G149" s="17"/>
      <c r="H149" s="332">
        <f t="shared" si="5"/>
        <v>41</v>
      </c>
    </row>
    <row r="150" spans="1:8">
      <c r="A150" s="332">
        <f t="shared" si="4"/>
        <v>42</v>
      </c>
      <c r="B150" s="22" t="s">
        <v>105</v>
      </c>
      <c r="C150" s="22"/>
      <c r="D150" s="22"/>
      <c r="E150" s="866">
        <v>15795.991830000001</v>
      </c>
      <c r="F150" s="671" t="s">
        <v>460</v>
      </c>
      <c r="G150" s="17" t="s">
        <v>717</v>
      </c>
      <c r="H150" s="332">
        <f t="shared" si="5"/>
        <v>42</v>
      </c>
    </row>
    <row r="151" spans="1:8">
      <c r="A151" s="332">
        <f t="shared" si="4"/>
        <v>43</v>
      </c>
      <c r="B151" s="22"/>
      <c r="C151" s="22"/>
      <c r="D151" s="22"/>
      <c r="E151" s="334"/>
      <c r="F151" s="19"/>
      <c r="G151" s="17"/>
      <c r="H151" s="332">
        <f t="shared" si="5"/>
        <v>43</v>
      </c>
    </row>
    <row r="152" spans="1:8">
      <c r="A152" s="332">
        <f t="shared" si="4"/>
        <v>44</v>
      </c>
      <c r="B152" s="22" t="s">
        <v>106</v>
      </c>
      <c r="C152" s="22"/>
      <c r="D152" s="22"/>
      <c r="E152" s="129">
        <f>E114</f>
        <v>1153244.7168116895</v>
      </c>
      <c r="F152" s="671" t="s">
        <v>460</v>
      </c>
      <c r="G152" s="17" t="s">
        <v>509</v>
      </c>
      <c r="H152" s="332">
        <f t="shared" si="5"/>
        <v>44</v>
      </c>
    </row>
    <row r="153" spans="1:8">
      <c r="A153" s="332">
        <f t="shared" si="4"/>
        <v>45</v>
      </c>
      <c r="B153" s="22"/>
      <c r="C153" s="22"/>
      <c r="D153" s="22"/>
      <c r="E153" s="525"/>
      <c r="F153" s="46"/>
      <c r="G153" s="20"/>
      <c r="H153" s="332">
        <f t="shared" si="5"/>
        <v>45</v>
      </c>
    </row>
    <row r="154" spans="1:8" ht="16" thickBot="1">
      <c r="A154" s="332">
        <f t="shared" si="4"/>
        <v>46</v>
      </c>
      <c r="B154" s="19" t="s">
        <v>107</v>
      </c>
      <c r="C154" s="22"/>
      <c r="D154" s="22"/>
      <c r="E154" s="876">
        <f>(E148+E150)/E152</f>
        <v>6.8398214564444518E-2</v>
      </c>
      <c r="F154" s="671" t="s">
        <v>460</v>
      </c>
      <c r="G154" s="17" t="s">
        <v>510</v>
      </c>
      <c r="H154" s="332">
        <f t="shared" si="5"/>
        <v>46</v>
      </c>
    </row>
    <row r="155" spans="1:8" ht="16" thickTop="1">
      <c r="A155" s="332">
        <f t="shared" si="4"/>
        <v>47</v>
      </c>
      <c r="B155" s="19"/>
      <c r="C155" s="19"/>
      <c r="D155" s="19"/>
      <c r="E155" s="400"/>
      <c r="F155" s="46"/>
      <c r="G155" s="20"/>
      <c r="H155" s="332">
        <f t="shared" si="5"/>
        <v>47</v>
      </c>
    </row>
    <row r="156" spans="1:8">
      <c r="A156" s="332">
        <f t="shared" si="4"/>
        <v>48</v>
      </c>
      <c r="B156" s="21" t="s">
        <v>108</v>
      </c>
      <c r="C156" s="21"/>
      <c r="D156" s="21"/>
      <c r="E156" s="331"/>
      <c r="F156" s="56"/>
      <c r="G156" s="19"/>
      <c r="H156" s="332">
        <f t="shared" si="5"/>
        <v>48</v>
      </c>
    </row>
    <row r="157" spans="1:8">
      <c r="A157" s="332">
        <f t="shared" si="4"/>
        <v>49</v>
      </c>
      <c r="B157" s="19"/>
      <c r="C157" s="19"/>
      <c r="D157" s="19"/>
      <c r="E157" s="331"/>
      <c r="F157" s="56"/>
      <c r="G157" s="19"/>
      <c r="H157" s="332">
        <f t="shared" si="5"/>
        <v>49</v>
      </c>
    </row>
    <row r="158" spans="1:8">
      <c r="A158" s="332">
        <f t="shared" si="4"/>
        <v>50</v>
      </c>
      <c r="B158" s="22" t="s">
        <v>109</v>
      </c>
      <c r="C158" s="22"/>
      <c r="D158" s="22"/>
      <c r="E158" s="401">
        <v>0</v>
      </c>
      <c r="G158" s="17" t="s">
        <v>511</v>
      </c>
      <c r="H158" s="332">
        <f t="shared" si="5"/>
        <v>50</v>
      </c>
    </row>
    <row r="159" spans="1:8">
      <c r="A159" s="332">
        <f t="shared" si="4"/>
        <v>51</v>
      </c>
      <c r="B159" s="22"/>
      <c r="C159" s="22"/>
      <c r="D159" s="22"/>
      <c r="E159" s="402"/>
      <c r="F159" s="47"/>
      <c r="G159" s="19"/>
      <c r="H159" s="332">
        <f t="shared" si="5"/>
        <v>51</v>
      </c>
    </row>
    <row r="160" spans="1:8">
      <c r="A160" s="332">
        <f t="shared" si="4"/>
        <v>52</v>
      </c>
      <c r="B160" s="22" t="s">
        <v>36</v>
      </c>
      <c r="C160" s="22"/>
      <c r="D160" s="22"/>
      <c r="E160" s="911">
        <f>'Pg12 As Filed Stmt AV FERC Adj'!G113</f>
        <v>9.635088218301012E-2</v>
      </c>
      <c r="F160" s="671" t="s">
        <v>460</v>
      </c>
      <c r="G160" s="17" t="s">
        <v>718</v>
      </c>
      <c r="H160" s="332">
        <f t="shared" si="5"/>
        <v>52</v>
      </c>
    </row>
    <row r="161" spans="1:8">
      <c r="A161" s="332">
        <f t="shared" si="4"/>
        <v>53</v>
      </c>
      <c r="B161" s="19"/>
      <c r="C161" s="19"/>
      <c r="D161" s="19"/>
      <c r="E161" s="404"/>
      <c r="F161" s="48"/>
      <c r="G161" s="19"/>
      <c r="H161" s="332">
        <f t="shared" si="5"/>
        <v>53</v>
      </c>
    </row>
    <row r="162" spans="1:8">
      <c r="A162" s="332">
        <f t="shared" si="4"/>
        <v>54</v>
      </c>
      <c r="B162" s="22" t="s">
        <v>110</v>
      </c>
      <c r="C162" s="22"/>
      <c r="D162" s="22"/>
      <c r="E162" s="405">
        <f>E158*E160</f>
        <v>0</v>
      </c>
      <c r="F162" s="55"/>
      <c r="G162" s="17" t="s">
        <v>512</v>
      </c>
      <c r="H162" s="332">
        <f t="shared" si="5"/>
        <v>54</v>
      </c>
    </row>
    <row r="163" spans="1:8">
      <c r="A163" s="332">
        <f t="shared" si="4"/>
        <v>55</v>
      </c>
      <c r="B163" s="19"/>
      <c r="C163" s="19"/>
      <c r="D163" s="19"/>
      <c r="E163" s="406"/>
      <c r="F163" s="49"/>
      <c r="G163" s="19"/>
      <c r="H163" s="332">
        <f t="shared" si="5"/>
        <v>55</v>
      </c>
    </row>
    <row r="164" spans="1:8">
      <c r="A164" s="332">
        <f t="shared" si="4"/>
        <v>56</v>
      </c>
      <c r="B164" s="22" t="s">
        <v>111</v>
      </c>
      <c r="C164" s="22"/>
      <c r="D164" s="22"/>
      <c r="E164" s="868">
        <f>E114</f>
        <v>1153244.7168116895</v>
      </c>
      <c r="F164" s="671" t="s">
        <v>460</v>
      </c>
      <c r="G164" s="17" t="s">
        <v>509</v>
      </c>
      <c r="H164" s="332">
        <f t="shared" si="5"/>
        <v>56</v>
      </c>
    </row>
    <row r="165" spans="1:8">
      <c r="A165" s="332">
        <f t="shared" si="4"/>
        <v>57</v>
      </c>
      <c r="B165" s="19"/>
      <c r="C165" s="19"/>
      <c r="D165" s="19"/>
      <c r="E165" s="527"/>
      <c r="F165" s="320"/>
      <c r="G165" s="19"/>
      <c r="H165" s="332">
        <f t="shared" si="5"/>
        <v>57</v>
      </c>
    </row>
    <row r="166" spans="1:8" ht="16" thickBot="1">
      <c r="A166" s="332">
        <f t="shared" si="4"/>
        <v>58</v>
      </c>
      <c r="B166" s="19" t="s">
        <v>112</v>
      </c>
      <c r="C166" s="22"/>
      <c r="D166" s="22"/>
      <c r="E166" s="522">
        <f>E162/E164</f>
        <v>0</v>
      </c>
      <c r="F166" s="79"/>
      <c r="G166" s="17" t="s">
        <v>513</v>
      </c>
      <c r="H166" s="332">
        <f t="shared" si="5"/>
        <v>58</v>
      </c>
    </row>
    <row r="167" spans="1:8" ht="16" thickTop="1">
      <c r="A167" s="332"/>
      <c r="B167" s="19"/>
      <c r="C167" s="22"/>
      <c r="D167" s="22"/>
      <c r="E167" s="350"/>
      <c r="F167" s="79"/>
      <c r="G167" s="17"/>
      <c r="H167" s="332"/>
    </row>
    <row r="168" spans="1:8">
      <c r="A168" s="332"/>
      <c r="B168" s="19"/>
      <c r="C168" s="22"/>
      <c r="D168" s="22"/>
      <c r="E168" s="350"/>
      <c r="F168" s="79"/>
      <c r="G168" s="17"/>
      <c r="H168" s="332"/>
    </row>
    <row r="169" spans="1:8">
      <c r="A169" s="671" t="s">
        <v>460</v>
      </c>
      <c r="B169" s="5" t="str">
        <f>B97</f>
        <v>Items in bold have changed due to various FERC Audit adj. compared to Appendix X Cycle 7 filing per ER18-1690.</v>
      </c>
      <c r="C169" s="19"/>
      <c r="D169" s="19"/>
      <c r="E169" s="56"/>
      <c r="F169" s="56"/>
      <c r="G169" s="50"/>
      <c r="H169" s="325"/>
    </row>
    <row r="170" spans="1:8" ht="18.5">
      <c r="A170" s="330"/>
      <c r="B170" s="51"/>
      <c r="C170" s="51"/>
      <c r="D170" s="51"/>
      <c r="E170" s="19"/>
      <c r="F170" s="19"/>
      <c r="G170" s="19"/>
      <c r="H170" s="330"/>
    </row>
    <row r="171" spans="1:8">
      <c r="A171" s="330"/>
      <c r="B171" s="56"/>
      <c r="C171" s="56"/>
      <c r="D171" s="56"/>
      <c r="E171" s="56"/>
      <c r="F171" s="56"/>
      <c r="G171" s="19"/>
      <c r="H171" s="325"/>
    </row>
    <row r="172" spans="1:8">
      <c r="A172" s="330"/>
      <c r="B172" s="56"/>
      <c r="C172" s="56"/>
      <c r="D172" s="56"/>
      <c r="E172" s="56"/>
      <c r="F172" s="56"/>
      <c r="G172" s="19"/>
      <c r="H172" s="325"/>
    </row>
    <row r="173" spans="1:8">
      <c r="A173" s="330"/>
      <c r="B173" s="19"/>
      <c r="C173" s="19"/>
      <c r="D173" s="19"/>
      <c r="E173" s="56"/>
      <c r="F173" s="56"/>
      <c r="G173" s="19"/>
      <c r="H173" s="325"/>
    </row>
    <row r="174" spans="1:8">
      <c r="A174" s="330"/>
      <c r="B174" s="19"/>
      <c r="C174" s="19"/>
      <c r="D174" s="19"/>
      <c r="E174" s="56"/>
      <c r="F174" s="56"/>
      <c r="G174" s="19"/>
      <c r="H174" s="325"/>
    </row>
    <row r="175" spans="1:8">
      <c r="A175" s="330"/>
      <c r="B175" s="19"/>
      <c r="C175" s="19"/>
      <c r="D175" s="19"/>
      <c r="E175" s="56"/>
      <c r="F175" s="56"/>
      <c r="G175" s="19"/>
      <c r="H175" s="325"/>
    </row>
    <row r="176" spans="1:8">
      <c r="A176" s="334"/>
    </row>
    <row r="177" spans="1:1">
      <c r="A177" s="334"/>
    </row>
    <row r="178" spans="1:1">
      <c r="A178" s="334"/>
    </row>
    <row r="179" spans="1:1">
      <c r="A179" s="334"/>
    </row>
    <row r="180" spans="1:1">
      <c r="A180" s="334"/>
    </row>
    <row r="181" spans="1:1">
      <c r="A181" s="334"/>
    </row>
    <row r="182" spans="1:1">
      <c r="A182" s="334"/>
    </row>
    <row r="183" spans="1:1">
      <c r="A183" s="334"/>
    </row>
    <row r="184" spans="1:1">
      <c r="A184" s="334"/>
    </row>
    <row r="185" spans="1:1">
      <c r="A185" s="334"/>
    </row>
    <row r="186" spans="1:1">
      <c r="A186" s="334"/>
    </row>
    <row r="187" spans="1:1">
      <c r="A187" s="334"/>
    </row>
    <row r="188" spans="1:1">
      <c r="A188" s="334"/>
    </row>
    <row r="189" spans="1:1">
      <c r="A189" s="334"/>
    </row>
    <row r="190" spans="1:1">
      <c r="A190" s="334"/>
    </row>
    <row r="191" spans="1:1">
      <c r="A191" s="334"/>
    </row>
    <row r="192" spans="1:1">
      <c r="A192" s="334"/>
    </row>
    <row r="193" spans="1:1">
      <c r="A193" s="334"/>
    </row>
    <row r="194" spans="1:1">
      <c r="A194" s="334"/>
    </row>
    <row r="195" spans="1:1">
      <c r="A195" s="334"/>
    </row>
    <row r="196" spans="1:1">
      <c r="A196" s="334"/>
    </row>
    <row r="197" spans="1:1">
      <c r="A197" s="334"/>
    </row>
    <row r="198" spans="1:1">
      <c r="A198" s="334"/>
    </row>
    <row r="199" spans="1:1">
      <c r="A199" s="334"/>
    </row>
    <row r="200" spans="1:1">
      <c r="A200" s="334"/>
    </row>
    <row r="201" spans="1:1">
      <c r="A201" s="334"/>
    </row>
    <row r="202" spans="1:1">
      <c r="A202" s="334"/>
    </row>
    <row r="203" spans="1:1">
      <c r="A203" s="334"/>
    </row>
    <row r="204" spans="1:1">
      <c r="A204" s="334"/>
    </row>
    <row r="205" spans="1:1">
      <c r="A205" s="334"/>
    </row>
    <row r="206" spans="1:1">
      <c r="A206" s="334"/>
    </row>
    <row r="207" spans="1:1">
      <c r="A207" s="334"/>
    </row>
    <row r="208" spans="1:1">
      <c r="A208" s="334"/>
    </row>
    <row r="209" spans="1:1">
      <c r="A209" s="334"/>
    </row>
    <row r="210" spans="1:1">
      <c r="A210" s="334"/>
    </row>
    <row r="211" spans="1:1">
      <c r="A211" s="334"/>
    </row>
    <row r="212" spans="1:1">
      <c r="A212" s="334"/>
    </row>
    <row r="213" spans="1:1">
      <c r="A213" s="334"/>
    </row>
    <row r="214" spans="1:1">
      <c r="A214" s="334"/>
    </row>
    <row r="215" spans="1:1">
      <c r="A215" s="334"/>
    </row>
    <row r="216" spans="1:1">
      <c r="A216" s="334"/>
    </row>
    <row r="217" spans="1:1">
      <c r="A217" s="334"/>
    </row>
    <row r="218" spans="1:1">
      <c r="A218" s="334"/>
    </row>
    <row r="219" spans="1:1">
      <c r="A219" s="334"/>
    </row>
    <row r="220" spans="1:1">
      <c r="A220" s="334"/>
    </row>
    <row r="221" spans="1:1">
      <c r="A221" s="334"/>
    </row>
    <row r="222" spans="1:1">
      <c r="A222" s="334"/>
    </row>
    <row r="223" spans="1:1">
      <c r="A223" s="334"/>
    </row>
    <row r="224" spans="1:1">
      <c r="A224" s="334"/>
    </row>
    <row r="225" spans="1:6">
      <c r="A225" s="334"/>
    </row>
    <row r="226" spans="1:6">
      <c r="A226" s="334"/>
    </row>
    <row r="227" spans="1:6">
      <c r="A227" s="334"/>
    </row>
    <row r="228" spans="1:6">
      <c r="A228" s="334"/>
    </row>
    <row r="229" spans="1:6">
      <c r="A229" s="334"/>
    </row>
    <row r="230" spans="1:6">
      <c r="A230" s="334"/>
    </row>
    <row r="231" spans="1:6">
      <c r="A231" s="334"/>
    </row>
    <row r="232" spans="1:6">
      <c r="A232" s="334"/>
    </row>
    <row r="233" spans="1:6">
      <c r="A233" s="334"/>
    </row>
    <row r="234" spans="1:6">
      <c r="A234" s="334"/>
    </row>
    <row r="235" spans="1:6">
      <c r="A235" s="334"/>
    </row>
    <row r="236" spans="1:6">
      <c r="A236" s="334"/>
    </row>
    <row r="237" spans="1:6">
      <c r="A237" s="334"/>
    </row>
    <row r="238" spans="1:6">
      <c r="A238" s="334"/>
    </row>
    <row r="239" spans="1:6">
      <c r="A239" s="334"/>
    </row>
    <row r="240" spans="1:6">
      <c r="A240" s="334"/>
      <c r="B240" s="56"/>
      <c r="C240" s="56"/>
      <c r="D240" s="56"/>
      <c r="E240" s="56"/>
      <c r="F240" s="56"/>
    </row>
    <row r="241" spans="1:6">
      <c r="A241" s="334"/>
      <c r="B241" s="56"/>
      <c r="C241" s="56"/>
      <c r="D241" s="56"/>
      <c r="E241" s="56"/>
      <c r="F241" s="56"/>
    </row>
    <row r="246" spans="1:6">
      <c r="A246" s="331"/>
      <c r="B246" s="56"/>
      <c r="C246" s="56"/>
      <c r="D246" s="56"/>
      <c r="E246" s="50"/>
      <c r="F246" s="50"/>
    </row>
  </sheetData>
  <mergeCells count="15">
    <mergeCell ref="B102:G102"/>
    <mergeCell ref="B103:G103"/>
    <mergeCell ref="B104:G104"/>
    <mergeCell ref="B49:G49"/>
    <mergeCell ref="B50:G50"/>
    <mergeCell ref="B51:G51"/>
    <mergeCell ref="B52:G52"/>
    <mergeCell ref="B100:G100"/>
    <mergeCell ref="B101:G101"/>
    <mergeCell ref="B48:G48"/>
    <mergeCell ref="B3:G3"/>
    <mergeCell ref="B4:G4"/>
    <mergeCell ref="B5:G5"/>
    <mergeCell ref="B6:G6"/>
    <mergeCell ref="B7:G7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Roman,Bold"&amp;6AS FILED SEC 2 NON-DIRECT EXP WITH FERC AUDIT ADJ INCL IN APPENDIX X CYCLE 12 (ER24-176)</oddHeader>
    <oddFooter>&amp;L&amp;F&amp;CPage 6.&amp;P&amp;R&amp;A</oddFooter>
  </headerFooter>
  <rowBreaks count="2" manualBreakCount="2">
    <brk id="46" max="16383" man="1"/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A95E-BE34-4C10-9953-E463A37C6F12}">
  <sheetPr>
    <pageSetUpPr fitToPage="1"/>
  </sheetPr>
  <dimension ref="A2:U51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73.1796875" style="7" customWidth="1"/>
    <col min="3" max="15" width="10.1796875" style="7" customWidth="1"/>
    <col min="16" max="16" width="2" style="7" bestFit="1" customWidth="1"/>
    <col min="17" max="17" width="35.1796875" style="7" customWidth="1"/>
    <col min="18" max="18" width="5.1796875" style="106" customWidth="1"/>
    <col min="19" max="20" width="8.81640625" style="7"/>
    <col min="21" max="21" width="9.81640625" style="7" bestFit="1" customWidth="1"/>
    <col min="22" max="16384" width="8.81640625" style="7"/>
  </cols>
  <sheetData>
    <row r="2" spans="1:18">
      <c r="B2" s="1013" t="s">
        <v>21</v>
      </c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110"/>
    </row>
    <row r="3" spans="1:18">
      <c r="B3" s="1013" t="s">
        <v>113</v>
      </c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10"/>
    </row>
    <row r="4" spans="1:18">
      <c r="B4" s="1021" t="s">
        <v>514</v>
      </c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339"/>
    </row>
    <row r="5" spans="1:18">
      <c r="B5" s="1022">
        <v>-1000</v>
      </c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341"/>
    </row>
    <row r="6" spans="1:18" ht="16" thickBot="1">
      <c r="A6" s="325"/>
      <c r="B6" s="56"/>
      <c r="C6" s="57"/>
      <c r="D6" s="57"/>
      <c r="E6" s="58"/>
      <c r="F6" s="58"/>
      <c r="G6" s="58"/>
      <c r="H6" s="58"/>
      <c r="I6" s="58"/>
      <c r="J6" s="58"/>
      <c r="K6" s="58"/>
      <c r="L6" s="58"/>
      <c r="M6" s="58"/>
      <c r="N6" s="57"/>
      <c r="O6" s="56"/>
      <c r="P6" s="56"/>
      <c r="Q6" s="56"/>
      <c r="R6" s="325"/>
    </row>
    <row r="7" spans="1:18">
      <c r="A7" s="337"/>
      <c r="B7" s="280"/>
      <c r="C7" s="1023" t="s">
        <v>675</v>
      </c>
      <c r="D7" s="1024"/>
      <c r="E7" s="1024"/>
      <c r="F7" s="1024"/>
      <c r="G7" s="1025"/>
      <c r="H7" s="1023" t="s">
        <v>676</v>
      </c>
      <c r="I7" s="1024"/>
      <c r="J7" s="1024"/>
      <c r="K7" s="1024"/>
      <c r="L7" s="1024"/>
      <c r="M7" s="1024"/>
      <c r="N7" s="1025"/>
      <c r="O7" s="300"/>
      <c r="P7" s="879"/>
      <c r="Q7" s="280"/>
      <c r="R7" s="342"/>
    </row>
    <row r="8" spans="1:18">
      <c r="A8" s="338" t="s">
        <v>2</v>
      </c>
      <c r="B8" s="57"/>
      <c r="C8" s="284" t="s">
        <v>7</v>
      </c>
      <c r="D8" s="58" t="s">
        <v>8</v>
      </c>
      <c r="E8" s="58" t="s">
        <v>9</v>
      </c>
      <c r="F8" s="58" t="s">
        <v>10</v>
      </c>
      <c r="G8" s="277" t="s">
        <v>11</v>
      </c>
      <c r="H8" s="284" t="s">
        <v>12</v>
      </c>
      <c r="I8" s="58" t="s">
        <v>13</v>
      </c>
      <c r="J8" s="58" t="s">
        <v>14</v>
      </c>
      <c r="K8" s="58" t="s">
        <v>15</v>
      </c>
      <c r="L8" s="58" t="s">
        <v>16</v>
      </c>
      <c r="M8" s="58" t="s">
        <v>17</v>
      </c>
      <c r="N8" s="277" t="s">
        <v>18</v>
      </c>
      <c r="O8" s="296" t="s">
        <v>19</v>
      </c>
      <c r="P8" s="58"/>
      <c r="Q8" s="57"/>
      <c r="R8" s="343" t="s">
        <v>2</v>
      </c>
    </row>
    <row r="9" spans="1:18">
      <c r="A9" s="338" t="s">
        <v>3</v>
      </c>
      <c r="B9" s="529" t="s">
        <v>114</v>
      </c>
      <c r="C9" s="285" t="s">
        <v>539</v>
      </c>
      <c r="D9" s="530" t="s">
        <v>677</v>
      </c>
      <c r="E9" s="530" t="s">
        <v>678</v>
      </c>
      <c r="F9" s="530" t="s">
        <v>679</v>
      </c>
      <c r="G9" s="286" t="s">
        <v>680</v>
      </c>
      <c r="H9" s="285" t="s">
        <v>681</v>
      </c>
      <c r="I9" s="530" t="s">
        <v>682</v>
      </c>
      <c r="J9" s="530" t="s">
        <v>683</v>
      </c>
      <c r="K9" s="530" t="s">
        <v>684</v>
      </c>
      <c r="L9" s="530" t="s">
        <v>685</v>
      </c>
      <c r="M9" s="530" t="s">
        <v>686</v>
      </c>
      <c r="N9" s="286" t="s">
        <v>540</v>
      </c>
      <c r="O9" s="531" t="s">
        <v>4</v>
      </c>
      <c r="P9" s="529"/>
      <c r="Q9" s="529" t="s">
        <v>5</v>
      </c>
      <c r="R9" s="343" t="s">
        <v>3</v>
      </c>
    </row>
    <row r="10" spans="1:18">
      <c r="A10" s="338"/>
      <c r="B10" s="281"/>
      <c r="C10" s="287"/>
      <c r="D10" s="81"/>
      <c r="E10" s="81"/>
      <c r="F10" s="81"/>
      <c r="G10" s="288"/>
      <c r="H10" s="287"/>
      <c r="I10" s="81"/>
      <c r="J10" s="81"/>
      <c r="K10" s="81"/>
      <c r="L10" s="81"/>
      <c r="M10" s="81"/>
      <c r="N10" s="278"/>
      <c r="O10" s="297"/>
      <c r="P10" s="281"/>
      <c r="Q10" s="58"/>
      <c r="R10" s="343"/>
    </row>
    <row r="11" spans="1:18">
      <c r="A11" s="338">
        <v>1</v>
      </c>
      <c r="B11" s="57" t="s">
        <v>115</v>
      </c>
      <c r="C11" s="408"/>
      <c r="D11" s="409">
        <f>C40</f>
        <v>82.22484211064544</v>
      </c>
      <c r="E11" s="409">
        <f t="shared" ref="E11:N11" si="0">D40</f>
        <v>164.65904352971037</v>
      </c>
      <c r="F11" s="409">
        <f t="shared" si="0"/>
        <v>247.37649577781349</v>
      </c>
      <c r="G11" s="410">
        <f t="shared" si="0"/>
        <v>330.34346737579239</v>
      </c>
      <c r="H11" s="986">
        <f t="shared" si="0"/>
        <v>413.63084984852856</v>
      </c>
      <c r="I11" s="443">
        <f t="shared" si="0"/>
        <v>545.66318158396518</v>
      </c>
      <c r="J11" s="409">
        <f t="shared" si="0"/>
        <v>678.34214884991138</v>
      </c>
      <c r="K11" s="409">
        <f t="shared" si="0"/>
        <v>811.46516186041697</v>
      </c>
      <c r="L11" s="443">
        <f t="shared" si="0"/>
        <v>944.9450038749294</v>
      </c>
      <c r="M11" s="409">
        <f t="shared" si="0"/>
        <v>1079.1835785063975</v>
      </c>
      <c r="N11" s="987">
        <f t="shared" si="0"/>
        <v>1213.7782344665161</v>
      </c>
      <c r="O11" s="412"/>
      <c r="P11" s="339"/>
      <c r="Q11" s="59" t="s">
        <v>515</v>
      </c>
      <c r="R11" s="343">
        <f>A11</f>
        <v>1</v>
      </c>
    </row>
    <row r="12" spans="1:18">
      <c r="A12" s="338">
        <f>A11+1</f>
        <v>2</v>
      </c>
      <c r="B12" s="57"/>
      <c r="C12" s="413"/>
      <c r="D12" s="414"/>
      <c r="E12" s="414"/>
      <c r="F12" s="414"/>
      <c r="G12" s="415"/>
      <c r="H12" s="671" t="s">
        <v>460</v>
      </c>
      <c r="I12" s="671" t="s">
        <v>460</v>
      </c>
      <c r="J12" s="414"/>
      <c r="K12" s="414"/>
      <c r="L12" s="671" t="s">
        <v>460</v>
      </c>
      <c r="M12" s="414"/>
      <c r="N12" s="671" t="s">
        <v>460</v>
      </c>
      <c r="O12" s="416"/>
      <c r="P12" s="414"/>
      <c r="Q12" s="57"/>
      <c r="R12" s="343">
        <f>R11+1</f>
        <v>2</v>
      </c>
    </row>
    <row r="13" spans="1:18">
      <c r="A13" s="338">
        <f t="shared" ref="A13:A41" si="1">A12+1</f>
        <v>3</v>
      </c>
      <c r="B13" s="57" t="s">
        <v>116</v>
      </c>
      <c r="C13" s="417">
        <v>0</v>
      </c>
      <c r="D13" s="379">
        <v>0</v>
      </c>
      <c r="E13" s="379">
        <v>0</v>
      </c>
      <c r="F13" s="379">
        <v>0</v>
      </c>
      <c r="G13" s="418">
        <v>0</v>
      </c>
      <c r="H13" s="419">
        <v>0</v>
      </c>
      <c r="I13" s="420">
        <v>0</v>
      </c>
      <c r="J13" s="420">
        <v>0</v>
      </c>
      <c r="K13" s="420">
        <v>0</v>
      </c>
      <c r="L13" s="420">
        <v>0</v>
      </c>
      <c r="M13" s="420">
        <v>0</v>
      </c>
      <c r="N13" s="421">
        <v>0</v>
      </c>
      <c r="O13" s="422">
        <f>SUM(C13:N13)</f>
        <v>0</v>
      </c>
      <c r="P13" s="409"/>
      <c r="Q13" s="59" t="s">
        <v>516</v>
      </c>
      <c r="R13" s="343">
        <f t="shared" ref="R13:R41" si="2">R12+1</f>
        <v>3</v>
      </c>
    </row>
    <row r="14" spans="1:18">
      <c r="A14" s="338">
        <f t="shared" si="1"/>
        <v>4</v>
      </c>
      <c r="B14" s="57"/>
      <c r="C14" s="423"/>
      <c r="D14" s="424"/>
      <c r="E14" s="424"/>
      <c r="F14" s="424"/>
      <c r="G14" s="425"/>
      <c r="H14" s="423"/>
      <c r="I14" s="424"/>
      <c r="J14" s="424"/>
      <c r="K14" s="424"/>
      <c r="L14" s="424"/>
      <c r="M14" s="424"/>
      <c r="N14" s="426"/>
      <c r="O14" s="427"/>
      <c r="P14" s="880"/>
      <c r="Q14" s="59" t="s">
        <v>517</v>
      </c>
      <c r="R14" s="343">
        <f t="shared" si="2"/>
        <v>4</v>
      </c>
    </row>
    <row r="15" spans="1:18">
      <c r="A15" s="338">
        <f t="shared" si="1"/>
        <v>5</v>
      </c>
      <c r="B15" s="57" t="s">
        <v>527</v>
      </c>
      <c r="C15" s="423"/>
      <c r="D15" s="424"/>
      <c r="E15" s="424"/>
      <c r="F15" s="424"/>
      <c r="G15" s="425"/>
      <c r="H15" s="423"/>
      <c r="I15" s="424"/>
      <c r="J15" s="424"/>
      <c r="K15" s="424"/>
      <c r="L15" s="424"/>
      <c r="M15" s="424"/>
      <c r="N15" s="426"/>
      <c r="O15" s="427"/>
      <c r="P15" s="880"/>
      <c r="Q15" s="57"/>
      <c r="R15" s="343">
        <f t="shared" si="2"/>
        <v>5</v>
      </c>
    </row>
    <row r="16" spans="1:18">
      <c r="A16" s="338">
        <f t="shared" si="1"/>
        <v>6</v>
      </c>
      <c r="B16" s="60" t="s">
        <v>528</v>
      </c>
      <c r="C16" s="411"/>
      <c r="D16" s="428"/>
      <c r="E16" s="428"/>
      <c r="F16" s="428"/>
      <c r="G16" s="429"/>
      <c r="H16" s="423"/>
      <c r="I16" s="424"/>
      <c r="J16" s="424"/>
      <c r="K16" s="424"/>
      <c r="L16" s="424"/>
      <c r="M16" s="424"/>
      <c r="N16" s="425"/>
      <c r="O16" s="430">
        <f>SUM(C16:G16)</f>
        <v>0</v>
      </c>
      <c r="P16" s="484"/>
      <c r="Q16" s="59" t="s">
        <v>440</v>
      </c>
      <c r="R16" s="343">
        <f t="shared" si="2"/>
        <v>6</v>
      </c>
    </row>
    <row r="17" spans="1:21">
      <c r="A17" s="338">
        <f t="shared" si="1"/>
        <v>7</v>
      </c>
      <c r="B17" s="60" t="s">
        <v>529</v>
      </c>
      <c r="C17" s="431">
        <v>1</v>
      </c>
      <c r="D17" s="432">
        <v>1</v>
      </c>
      <c r="E17" s="432">
        <v>1</v>
      </c>
      <c r="F17" s="432">
        <v>1</v>
      </c>
      <c r="G17" s="433">
        <v>1</v>
      </c>
      <c r="H17" s="411"/>
      <c r="I17" s="409"/>
      <c r="J17" s="409"/>
      <c r="K17" s="409"/>
      <c r="L17" s="409"/>
      <c r="M17" s="409"/>
      <c r="N17" s="410"/>
      <c r="O17" s="430">
        <f>SUM(C17:G17)</f>
        <v>5</v>
      </c>
      <c r="P17" s="484"/>
      <c r="Q17" s="59" t="s">
        <v>518</v>
      </c>
      <c r="R17" s="343">
        <f t="shared" si="2"/>
        <v>7</v>
      </c>
    </row>
    <row r="18" spans="1:21">
      <c r="A18" s="338">
        <f t="shared" si="1"/>
        <v>8</v>
      </c>
      <c r="B18" s="282"/>
      <c r="C18" s="434"/>
      <c r="D18" s="438"/>
      <c r="E18" s="438"/>
      <c r="F18" s="438"/>
      <c r="G18" s="439"/>
      <c r="H18" s="437"/>
      <c r="I18" s="440"/>
      <c r="J18" s="440"/>
      <c r="K18" s="440"/>
      <c r="L18" s="440"/>
      <c r="M18" s="440"/>
      <c r="N18" s="441"/>
      <c r="O18" s="430"/>
      <c r="P18" s="484"/>
      <c r="Q18" s="59"/>
      <c r="R18" s="343">
        <f t="shared" si="2"/>
        <v>8</v>
      </c>
    </row>
    <row r="19" spans="1:21">
      <c r="A19" s="338">
        <f t="shared" si="1"/>
        <v>9</v>
      </c>
      <c r="B19" s="60" t="s">
        <v>530</v>
      </c>
      <c r="C19" s="431">
        <v>97.5</v>
      </c>
      <c r="D19" s="435">
        <v>97.5</v>
      </c>
      <c r="E19" s="435">
        <v>97.5</v>
      </c>
      <c r="F19" s="435">
        <v>97.5</v>
      </c>
      <c r="G19" s="436">
        <v>97.5</v>
      </c>
      <c r="H19" s="437"/>
      <c r="I19" s="440"/>
      <c r="J19" s="440"/>
      <c r="K19" s="440"/>
      <c r="L19" s="440"/>
      <c r="M19" s="440"/>
      <c r="N19" s="441"/>
      <c r="O19" s="500">
        <f>SUM(C19:G19)</f>
        <v>487.5</v>
      </c>
      <c r="P19" s="484"/>
      <c r="Q19" s="59" t="s">
        <v>519</v>
      </c>
      <c r="R19" s="343">
        <f t="shared" si="2"/>
        <v>9</v>
      </c>
    </row>
    <row r="20" spans="1:21">
      <c r="A20" s="338">
        <f t="shared" si="1"/>
        <v>10</v>
      </c>
      <c r="B20" s="60" t="s">
        <v>531</v>
      </c>
      <c r="C20" s="423"/>
      <c r="D20" s="424"/>
      <c r="E20" s="424"/>
      <c r="F20" s="424"/>
      <c r="G20" s="425"/>
      <c r="H20" s="442">
        <v>4.3</v>
      </c>
      <c r="I20" s="432">
        <v>4.3</v>
      </c>
      <c r="J20" s="432">
        <v>4.3</v>
      </c>
      <c r="K20" s="432">
        <v>4.3</v>
      </c>
      <c r="L20" s="432">
        <v>4.3</v>
      </c>
      <c r="M20" s="432">
        <v>4.3</v>
      </c>
      <c r="N20" s="433">
        <v>4.3</v>
      </c>
      <c r="O20" s="500">
        <f>SUM(H20:N20)</f>
        <v>30.1</v>
      </c>
      <c r="P20" s="484"/>
      <c r="Q20" s="59" t="s">
        <v>520</v>
      </c>
      <c r="R20" s="343">
        <f t="shared" si="2"/>
        <v>10</v>
      </c>
    </row>
    <row r="21" spans="1:21">
      <c r="A21" s="338">
        <f t="shared" si="1"/>
        <v>11</v>
      </c>
      <c r="B21" s="282"/>
      <c r="C21" s="423"/>
      <c r="D21" s="424"/>
      <c r="E21" s="424"/>
      <c r="F21" s="424"/>
      <c r="G21" s="425"/>
      <c r="H21" s="434"/>
      <c r="I21" s="409"/>
      <c r="J21" s="409"/>
      <c r="K21" s="409"/>
      <c r="L21" s="409"/>
      <c r="M21" s="409"/>
      <c r="N21" s="410"/>
      <c r="O21" s="500"/>
      <c r="P21" s="484"/>
      <c r="Q21" s="59"/>
      <c r="R21" s="343">
        <f t="shared" si="2"/>
        <v>11</v>
      </c>
    </row>
    <row r="22" spans="1:21">
      <c r="A22" s="338">
        <f t="shared" si="1"/>
        <v>12</v>
      </c>
      <c r="B22" s="60" t="s">
        <v>532</v>
      </c>
      <c r="C22" s="423"/>
      <c r="D22" s="424"/>
      <c r="E22" s="424"/>
      <c r="F22" s="424"/>
      <c r="G22" s="425"/>
      <c r="H22" s="499">
        <v>45.7</v>
      </c>
      <c r="I22" s="432">
        <v>45.7</v>
      </c>
      <c r="J22" s="432">
        <v>45.7</v>
      </c>
      <c r="K22" s="432">
        <v>45.7</v>
      </c>
      <c r="L22" s="432">
        <v>45.7</v>
      </c>
      <c r="M22" s="432">
        <v>45.7</v>
      </c>
      <c r="N22" s="433">
        <v>45.7</v>
      </c>
      <c r="O22" s="500">
        <f>SUM(H22:N22)</f>
        <v>319.89999999999998</v>
      </c>
      <c r="P22" s="484"/>
      <c r="Q22" s="59" t="s">
        <v>521</v>
      </c>
      <c r="R22" s="343">
        <f t="shared" si="2"/>
        <v>12</v>
      </c>
    </row>
    <row r="23" spans="1:21">
      <c r="A23" s="338">
        <f t="shared" si="1"/>
        <v>13</v>
      </c>
      <c r="B23" s="60" t="s">
        <v>533</v>
      </c>
      <c r="C23" s="423"/>
      <c r="D23" s="424"/>
      <c r="E23" s="424"/>
      <c r="F23" s="424"/>
      <c r="G23" s="424"/>
      <c r="H23" s="423"/>
      <c r="I23" s="424"/>
      <c r="J23" s="424"/>
      <c r="K23" s="443"/>
      <c r="L23" s="424"/>
      <c r="M23" s="424"/>
      <c r="N23" s="501"/>
      <c r="O23" s="502">
        <f>SUM(C23:N23)</f>
        <v>0</v>
      </c>
      <c r="P23" s="881"/>
      <c r="Q23" s="59" t="s">
        <v>440</v>
      </c>
      <c r="R23" s="343">
        <f t="shared" si="2"/>
        <v>13</v>
      </c>
    </row>
    <row r="24" spans="1:21">
      <c r="A24" s="338">
        <f t="shared" si="1"/>
        <v>14</v>
      </c>
      <c r="B24" s="57" t="s">
        <v>117</v>
      </c>
      <c r="C24" s="532">
        <f t="shared" ref="C24:N24" si="3">SUM(C16:C23)</f>
        <v>98.5</v>
      </c>
      <c r="D24" s="444">
        <f t="shared" si="3"/>
        <v>98.5</v>
      </c>
      <c r="E24" s="444">
        <f t="shared" si="3"/>
        <v>98.5</v>
      </c>
      <c r="F24" s="444">
        <f t="shared" si="3"/>
        <v>98.5</v>
      </c>
      <c r="G24" s="445">
        <f t="shared" si="3"/>
        <v>98.5</v>
      </c>
      <c r="H24" s="532">
        <f t="shared" si="3"/>
        <v>50</v>
      </c>
      <c r="I24" s="444">
        <f t="shared" si="3"/>
        <v>50</v>
      </c>
      <c r="J24" s="444">
        <f t="shared" si="3"/>
        <v>50</v>
      </c>
      <c r="K24" s="444">
        <f t="shared" si="3"/>
        <v>50</v>
      </c>
      <c r="L24" s="444">
        <f t="shared" si="3"/>
        <v>50</v>
      </c>
      <c r="M24" s="444">
        <f t="shared" si="3"/>
        <v>50</v>
      </c>
      <c r="N24" s="445">
        <f t="shared" si="3"/>
        <v>50</v>
      </c>
      <c r="O24" s="533">
        <f>SUM(C24:N24)</f>
        <v>842.5</v>
      </c>
      <c r="P24" s="409"/>
      <c r="Q24" s="59" t="s">
        <v>417</v>
      </c>
      <c r="R24" s="343">
        <f t="shared" si="2"/>
        <v>14</v>
      </c>
    </row>
    <row r="25" spans="1:21">
      <c r="A25" s="338">
        <f t="shared" si="1"/>
        <v>15</v>
      </c>
      <c r="B25" s="283"/>
      <c r="C25" s="423"/>
      <c r="D25" s="424"/>
      <c r="E25" s="424"/>
      <c r="F25" s="424"/>
      <c r="G25" s="425"/>
      <c r="H25" s="423"/>
      <c r="I25" s="424"/>
      <c r="J25" s="424"/>
      <c r="K25" s="424"/>
      <c r="L25" s="443"/>
      <c r="M25" s="424"/>
      <c r="N25" s="426"/>
      <c r="O25" s="427"/>
      <c r="P25" s="880"/>
      <c r="Q25" s="57"/>
      <c r="R25" s="343">
        <f t="shared" si="2"/>
        <v>15</v>
      </c>
    </row>
    <row r="26" spans="1:21">
      <c r="A26" s="338">
        <f t="shared" si="1"/>
        <v>16</v>
      </c>
      <c r="B26" s="57" t="s">
        <v>118</v>
      </c>
      <c r="C26" s="446">
        <f t="shared" ref="C26:N26" si="4">C13+C24</f>
        <v>98.5</v>
      </c>
      <c r="D26" s="447">
        <f t="shared" si="4"/>
        <v>98.5</v>
      </c>
      <c r="E26" s="447">
        <f t="shared" si="4"/>
        <v>98.5</v>
      </c>
      <c r="F26" s="447">
        <f t="shared" si="4"/>
        <v>98.5</v>
      </c>
      <c r="G26" s="448">
        <f t="shared" si="4"/>
        <v>98.5</v>
      </c>
      <c r="H26" s="446">
        <f t="shared" si="4"/>
        <v>50</v>
      </c>
      <c r="I26" s="447">
        <f t="shared" si="4"/>
        <v>50</v>
      </c>
      <c r="J26" s="447">
        <f t="shared" si="4"/>
        <v>50</v>
      </c>
      <c r="K26" s="447">
        <f t="shared" si="4"/>
        <v>50</v>
      </c>
      <c r="L26" s="447">
        <f t="shared" si="4"/>
        <v>50</v>
      </c>
      <c r="M26" s="447">
        <f t="shared" si="4"/>
        <v>50</v>
      </c>
      <c r="N26" s="448">
        <f t="shared" si="4"/>
        <v>50</v>
      </c>
      <c r="O26" s="449">
        <f>SUM(C26:N26)</f>
        <v>842.5</v>
      </c>
      <c r="P26" s="447"/>
      <c r="Q26" s="65" t="s">
        <v>522</v>
      </c>
      <c r="R26" s="343">
        <f t="shared" si="2"/>
        <v>16</v>
      </c>
    </row>
    <row r="27" spans="1:21">
      <c r="A27" s="338">
        <f t="shared" si="1"/>
        <v>17</v>
      </c>
      <c r="B27" s="57"/>
      <c r="C27" s="450"/>
      <c r="D27" s="451"/>
      <c r="E27" s="451"/>
      <c r="F27" s="451"/>
      <c r="G27" s="452"/>
      <c r="H27" s="450"/>
      <c r="I27" s="451"/>
      <c r="J27" s="451"/>
      <c r="K27" s="451"/>
      <c r="L27" s="451"/>
      <c r="M27" s="451"/>
      <c r="N27" s="452"/>
      <c r="O27" s="453"/>
      <c r="P27" s="882"/>
      <c r="Q27" s="57"/>
      <c r="R27" s="343">
        <f t="shared" si="2"/>
        <v>17</v>
      </c>
    </row>
    <row r="28" spans="1:21">
      <c r="A28" s="338">
        <f t="shared" si="1"/>
        <v>18</v>
      </c>
      <c r="B28" s="57" t="s">
        <v>119</v>
      </c>
      <c r="C28" s="431">
        <f>'Pg8 Rev Sec 4b-TU COS'!D23</f>
        <v>180.60168957628102</v>
      </c>
      <c r="D28" s="431">
        <f>$C$28</f>
        <v>180.60168957628102</v>
      </c>
      <c r="E28" s="431">
        <f t="shared" ref="E28:N28" si="5">$C$28</f>
        <v>180.60168957628102</v>
      </c>
      <c r="F28" s="431">
        <f t="shared" si="5"/>
        <v>180.60168957628102</v>
      </c>
      <c r="G28" s="431">
        <f t="shared" si="5"/>
        <v>180.60168957628102</v>
      </c>
      <c r="H28" s="431">
        <f t="shared" si="5"/>
        <v>180.60168957628102</v>
      </c>
      <c r="I28" s="431">
        <f t="shared" si="5"/>
        <v>180.60168957628102</v>
      </c>
      <c r="J28" s="431">
        <f t="shared" si="5"/>
        <v>180.60168957628102</v>
      </c>
      <c r="K28" s="431">
        <f t="shared" si="5"/>
        <v>180.60168957628102</v>
      </c>
      <c r="L28" s="431">
        <f t="shared" si="5"/>
        <v>180.60168957628102</v>
      </c>
      <c r="M28" s="431">
        <f t="shared" si="5"/>
        <v>180.60168957628102</v>
      </c>
      <c r="N28" s="431">
        <f t="shared" si="5"/>
        <v>180.60168957628102</v>
      </c>
      <c r="O28" s="886">
        <f>SUM(C28:N28)</f>
        <v>2167.2202749153716</v>
      </c>
      <c r="P28" s="671" t="s">
        <v>460</v>
      </c>
      <c r="Q28" s="59" t="s">
        <v>781</v>
      </c>
      <c r="R28" s="343">
        <f t="shared" si="2"/>
        <v>18</v>
      </c>
      <c r="U28" s="479"/>
    </row>
    <row r="29" spans="1:21">
      <c r="A29" s="338">
        <f t="shared" si="1"/>
        <v>19</v>
      </c>
      <c r="B29" s="57"/>
      <c r="C29" s="454"/>
      <c r="D29" s="534"/>
      <c r="E29" s="535"/>
      <c r="F29" s="534"/>
      <c r="G29" s="536"/>
      <c r="H29" s="455"/>
      <c r="I29" s="535"/>
      <c r="J29" s="534"/>
      <c r="K29" s="535"/>
      <c r="L29" s="534"/>
      <c r="M29" s="535"/>
      <c r="N29" s="537"/>
      <c r="O29" s="538"/>
      <c r="P29" s="882"/>
      <c r="Q29" s="57"/>
      <c r="R29" s="343">
        <f t="shared" si="2"/>
        <v>19</v>
      </c>
    </row>
    <row r="30" spans="1:21" ht="16" thickBot="1">
      <c r="A30" s="338">
        <f t="shared" si="1"/>
        <v>20</v>
      </c>
      <c r="B30" s="57" t="s">
        <v>120</v>
      </c>
      <c r="C30" s="956">
        <f>C28-C26</f>
        <v>82.101689576281018</v>
      </c>
      <c r="D30" s="560">
        <f t="shared" ref="D30:N30" si="6">D28-D26</f>
        <v>82.101689576281018</v>
      </c>
      <c r="E30" s="560">
        <f t="shared" si="6"/>
        <v>82.101689576281018</v>
      </c>
      <c r="F30" s="560">
        <f t="shared" si="6"/>
        <v>82.101689576281018</v>
      </c>
      <c r="G30" s="957">
        <f t="shared" si="6"/>
        <v>82.101689576281018</v>
      </c>
      <c r="H30" s="956">
        <f t="shared" si="6"/>
        <v>130.60168957628102</v>
      </c>
      <c r="I30" s="560">
        <f t="shared" si="6"/>
        <v>130.60168957628102</v>
      </c>
      <c r="J30" s="560">
        <f t="shared" si="6"/>
        <v>130.60168957628102</v>
      </c>
      <c r="K30" s="560">
        <f t="shared" si="6"/>
        <v>130.60168957628102</v>
      </c>
      <c r="L30" s="560">
        <f t="shared" si="6"/>
        <v>130.60168957628102</v>
      </c>
      <c r="M30" s="560">
        <f t="shared" si="6"/>
        <v>130.60168957628102</v>
      </c>
      <c r="N30" s="957">
        <f t="shared" si="6"/>
        <v>130.60168957628102</v>
      </c>
      <c r="O30" s="458">
        <f>O28-O26</f>
        <v>1324.7202749153716</v>
      </c>
      <c r="P30" s="671" t="s">
        <v>460</v>
      </c>
      <c r="Q30" s="59" t="s">
        <v>523</v>
      </c>
      <c r="R30" s="343">
        <f t="shared" si="2"/>
        <v>20</v>
      </c>
    </row>
    <row r="31" spans="1:21" ht="16.5" thickTop="1" thickBot="1">
      <c r="A31" s="338">
        <f t="shared" si="1"/>
        <v>21</v>
      </c>
      <c r="B31" s="57"/>
      <c r="C31" s="289"/>
      <c r="D31" s="57"/>
      <c r="E31" s="57"/>
      <c r="F31" s="57"/>
      <c r="G31" s="278"/>
      <c r="H31" s="671"/>
      <c r="I31" s="671"/>
      <c r="J31" s="671"/>
      <c r="K31" s="671"/>
      <c r="L31" s="671"/>
      <c r="M31" s="671"/>
      <c r="N31" s="671"/>
      <c r="O31" s="298"/>
      <c r="P31" s="883"/>
      <c r="Q31" s="57"/>
      <c r="R31" s="343">
        <f t="shared" si="2"/>
        <v>21</v>
      </c>
    </row>
    <row r="32" spans="1:21">
      <c r="A32" s="338">
        <f t="shared" si="1"/>
        <v>22</v>
      </c>
      <c r="B32" s="540"/>
      <c r="C32" s="541"/>
      <c r="D32" s="280"/>
      <c r="E32" s="280"/>
      <c r="F32" s="280"/>
      <c r="G32" s="542"/>
      <c r="H32" s="541"/>
      <c r="I32" s="280"/>
      <c r="J32" s="280"/>
      <c r="K32" s="280"/>
      <c r="L32" s="280"/>
      <c r="M32" s="280"/>
      <c r="N32" s="542"/>
      <c r="O32" s="543"/>
      <c r="P32" s="884"/>
      <c r="Q32" s="544"/>
      <c r="R32" s="343">
        <f t="shared" si="2"/>
        <v>22</v>
      </c>
    </row>
    <row r="33" spans="1:18">
      <c r="A33" s="338">
        <f t="shared" si="1"/>
        <v>23</v>
      </c>
      <c r="B33" s="57" t="s">
        <v>121</v>
      </c>
      <c r="C33" s="289"/>
      <c r="D33" s="57"/>
      <c r="E33" s="57"/>
      <c r="F33" s="57"/>
      <c r="G33" s="278"/>
      <c r="H33" s="289"/>
      <c r="I33" s="57"/>
      <c r="J33" s="57"/>
      <c r="K33" s="57"/>
      <c r="L33" s="57"/>
      <c r="M33" s="57"/>
      <c r="N33" s="278"/>
      <c r="O33" s="298"/>
      <c r="P33" s="883"/>
      <c r="Q33" s="57"/>
      <c r="R33" s="343">
        <f t="shared" si="2"/>
        <v>23</v>
      </c>
    </row>
    <row r="34" spans="1:18">
      <c r="A34" s="338">
        <f t="shared" si="1"/>
        <v>24</v>
      </c>
      <c r="B34" s="60" t="s">
        <v>534</v>
      </c>
      <c r="C34" s="291">
        <v>0</v>
      </c>
      <c r="D34" s="64">
        <v>0</v>
      </c>
      <c r="E34" s="64">
        <v>0</v>
      </c>
      <c r="F34" s="64">
        <f>E40</f>
        <v>247.37649577781349</v>
      </c>
      <c r="G34" s="290">
        <f>E40</f>
        <v>247.37649577781349</v>
      </c>
      <c r="H34" s="291">
        <f>E40</f>
        <v>247.37649577781349</v>
      </c>
      <c r="I34" s="64">
        <f>H40</f>
        <v>545.66318158396518</v>
      </c>
      <c r="J34" s="64">
        <f>H40</f>
        <v>545.66318158396518</v>
      </c>
      <c r="K34" s="64">
        <f>H40</f>
        <v>545.66318158396518</v>
      </c>
      <c r="L34" s="64">
        <f>K40</f>
        <v>944.9450038749294</v>
      </c>
      <c r="M34" s="64">
        <f>K40</f>
        <v>944.9450038749294</v>
      </c>
      <c r="N34" s="290">
        <f>K40</f>
        <v>944.9450038749294</v>
      </c>
      <c r="O34" s="298"/>
      <c r="P34" s="883"/>
      <c r="Q34" s="59" t="s">
        <v>122</v>
      </c>
      <c r="R34" s="343">
        <f t="shared" si="2"/>
        <v>24</v>
      </c>
    </row>
    <row r="35" spans="1:18">
      <c r="A35" s="338">
        <f t="shared" si="1"/>
        <v>25</v>
      </c>
      <c r="B35" s="60" t="s">
        <v>123</v>
      </c>
      <c r="C35" s="308">
        <f>C30/2</f>
        <v>41.050844788140509</v>
      </c>
      <c r="D35" s="545">
        <f>C30+(D30/2)</f>
        <v>123.15253436442153</v>
      </c>
      <c r="E35" s="545">
        <f>C30+D30+(E30/2)</f>
        <v>205.25422394070256</v>
      </c>
      <c r="F35" s="545">
        <f>F30/2</f>
        <v>41.050844788140509</v>
      </c>
      <c r="G35" s="309">
        <f>F30+(G30/2)</f>
        <v>123.15253436442153</v>
      </c>
      <c r="H35" s="308">
        <f>F30+G30+(H30/2)</f>
        <v>229.50422394070256</v>
      </c>
      <c r="I35" s="304">
        <f>I30/2</f>
        <v>65.300844788140509</v>
      </c>
      <c r="J35" s="304">
        <f>I30+(J30/2)</f>
        <v>195.90253436442151</v>
      </c>
      <c r="K35" s="304">
        <f>I30+J30+(K30/2)</f>
        <v>326.50422394070256</v>
      </c>
      <c r="L35" s="304">
        <f>L30/2</f>
        <v>65.300844788140509</v>
      </c>
      <c r="M35" s="304">
        <f>L30+(M30/2)</f>
        <v>195.90253436442151</v>
      </c>
      <c r="N35" s="309">
        <f>L30+M30+(N30/2)</f>
        <v>326.50422394070256</v>
      </c>
      <c r="O35" s="298"/>
      <c r="P35" s="883"/>
      <c r="Q35" s="59" t="s">
        <v>124</v>
      </c>
      <c r="R35" s="343">
        <f t="shared" si="2"/>
        <v>25</v>
      </c>
    </row>
    <row r="36" spans="1:18">
      <c r="A36" s="338">
        <f t="shared" si="1"/>
        <v>26</v>
      </c>
      <c r="B36" s="60" t="s">
        <v>125</v>
      </c>
      <c r="C36" s="546">
        <f>SUM(C34:C35)</f>
        <v>41.050844788140509</v>
      </c>
      <c r="D36" s="547">
        <f t="shared" ref="D36:N36" si="7">SUM(D34:D35)</f>
        <v>123.15253436442153</v>
      </c>
      <c r="E36" s="547">
        <f t="shared" si="7"/>
        <v>205.25422394070256</v>
      </c>
      <c r="F36" s="547">
        <f t="shared" si="7"/>
        <v>288.42734056595401</v>
      </c>
      <c r="G36" s="548">
        <f t="shared" si="7"/>
        <v>370.529030142235</v>
      </c>
      <c r="H36" s="546">
        <f t="shared" si="7"/>
        <v>476.88071971851605</v>
      </c>
      <c r="I36" s="547">
        <f t="shared" si="7"/>
        <v>610.96402637210565</v>
      </c>
      <c r="J36" s="547">
        <f t="shared" si="7"/>
        <v>741.5657159483867</v>
      </c>
      <c r="K36" s="547">
        <f t="shared" si="7"/>
        <v>872.16740552466774</v>
      </c>
      <c r="L36" s="547">
        <f t="shared" si="7"/>
        <v>1010.2458486630699</v>
      </c>
      <c r="M36" s="547">
        <f t="shared" si="7"/>
        <v>1140.8475382393508</v>
      </c>
      <c r="N36" s="548">
        <f t="shared" si="7"/>
        <v>1271.449227815632</v>
      </c>
      <c r="O36" s="298"/>
      <c r="P36" s="883"/>
      <c r="Q36" s="59" t="s">
        <v>524</v>
      </c>
      <c r="R36" s="343">
        <f t="shared" si="2"/>
        <v>26</v>
      </c>
    </row>
    <row r="37" spans="1:18">
      <c r="A37" s="338">
        <f t="shared" si="1"/>
        <v>27</v>
      </c>
      <c r="B37" s="60" t="s">
        <v>126</v>
      </c>
      <c r="C37" s="292">
        <v>3.0000000000000001E-3</v>
      </c>
      <c r="D37" s="549">
        <v>2.7000000000000001E-3</v>
      </c>
      <c r="E37" s="550">
        <v>3.0000000000000001E-3</v>
      </c>
      <c r="F37" s="550">
        <v>3.0000000000000001E-3</v>
      </c>
      <c r="G37" s="293">
        <v>3.2000000000000002E-3</v>
      </c>
      <c r="H37" s="292">
        <v>3.0000000000000001E-3</v>
      </c>
      <c r="I37" s="550">
        <v>3.3999999999999998E-3</v>
      </c>
      <c r="J37" s="550">
        <v>3.3999999999999998E-3</v>
      </c>
      <c r="K37" s="550">
        <v>3.3E-3</v>
      </c>
      <c r="L37" s="550">
        <v>3.5999999999999999E-3</v>
      </c>
      <c r="M37" s="550">
        <v>3.5000000000000001E-3</v>
      </c>
      <c r="N37" s="295">
        <v>3.5999999999999999E-3</v>
      </c>
      <c r="O37" s="298"/>
      <c r="P37" s="883"/>
      <c r="Q37" s="59" t="s">
        <v>127</v>
      </c>
      <c r="R37" s="343">
        <f t="shared" si="2"/>
        <v>27</v>
      </c>
    </row>
    <row r="38" spans="1:18">
      <c r="A38" s="338">
        <f t="shared" si="1"/>
        <v>28</v>
      </c>
      <c r="B38" s="60" t="s">
        <v>128</v>
      </c>
      <c r="C38" s="551">
        <f>C36*C37</f>
        <v>0.12315253436442153</v>
      </c>
      <c r="D38" s="552">
        <f t="shared" ref="D38:N38" si="8">D36*D37</f>
        <v>0.33251184278393814</v>
      </c>
      <c r="E38" s="552">
        <f t="shared" si="8"/>
        <v>0.61576267182210764</v>
      </c>
      <c r="F38" s="552">
        <f t="shared" si="8"/>
        <v>0.86528202169786206</v>
      </c>
      <c r="G38" s="553">
        <f t="shared" si="8"/>
        <v>1.1856928964551521</v>
      </c>
      <c r="H38" s="551">
        <f t="shared" si="8"/>
        <v>1.4306421591555483</v>
      </c>
      <c r="I38" s="552">
        <f t="shared" si="8"/>
        <v>2.0772776896651592</v>
      </c>
      <c r="J38" s="552">
        <f t="shared" si="8"/>
        <v>2.5213234342245148</v>
      </c>
      <c r="K38" s="552">
        <f t="shared" si="8"/>
        <v>2.8781524382314037</v>
      </c>
      <c r="L38" s="552">
        <f t="shared" si="8"/>
        <v>3.6368850551870513</v>
      </c>
      <c r="M38" s="552">
        <f t="shared" si="8"/>
        <v>3.9929663838377278</v>
      </c>
      <c r="N38" s="553">
        <f t="shared" si="8"/>
        <v>4.5772172201362746</v>
      </c>
      <c r="O38" s="554">
        <f>SUM(C38:N38)</f>
        <v>24.236866347561161</v>
      </c>
      <c r="P38" s="671"/>
      <c r="Q38" s="59" t="s">
        <v>525</v>
      </c>
      <c r="R38" s="343">
        <f t="shared" si="2"/>
        <v>28</v>
      </c>
    </row>
    <row r="39" spans="1:18">
      <c r="A39" s="338">
        <f t="shared" si="1"/>
        <v>29</v>
      </c>
      <c r="B39" s="57"/>
      <c r="C39" s="289"/>
      <c r="D39" s="57"/>
      <c r="E39" s="57"/>
      <c r="F39" s="57"/>
      <c r="G39" s="278"/>
      <c r="H39" s="289"/>
      <c r="I39" s="57"/>
      <c r="J39" s="57"/>
      <c r="K39" s="57"/>
      <c r="L39" s="57"/>
      <c r="M39" s="57"/>
      <c r="N39" s="278"/>
      <c r="O39" s="298"/>
      <c r="P39" s="883"/>
      <c r="Q39" s="57"/>
      <c r="R39" s="343">
        <f t="shared" si="2"/>
        <v>29</v>
      </c>
    </row>
    <row r="40" spans="1:18" ht="16" thickBot="1">
      <c r="A40" s="338">
        <f t="shared" si="1"/>
        <v>30</v>
      </c>
      <c r="B40" s="57" t="s">
        <v>129</v>
      </c>
      <c r="C40" s="958">
        <f t="shared" ref="C40:N40" si="9">C11+C30+C38</f>
        <v>82.22484211064544</v>
      </c>
      <c r="D40" s="960">
        <f t="shared" si="9"/>
        <v>164.65904352971037</v>
      </c>
      <c r="E40" s="960">
        <f t="shared" si="9"/>
        <v>247.37649577781349</v>
      </c>
      <c r="F40" s="960">
        <f t="shared" si="9"/>
        <v>330.34346737579239</v>
      </c>
      <c r="G40" s="316">
        <f t="shared" si="9"/>
        <v>413.63084984852856</v>
      </c>
      <c r="H40" s="315">
        <f t="shared" si="9"/>
        <v>545.66318158396518</v>
      </c>
      <c r="I40" s="960">
        <f t="shared" si="9"/>
        <v>678.34214884991138</v>
      </c>
      <c r="J40" s="960">
        <f t="shared" si="9"/>
        <v>811.46516186041697</v>
      </c>
      <c r="K40" s="555">
        <f t="shared" si="9"/>
        <v>944.9450038749294</v>
      </c>
      <c r="L40" s="960">
        <f t="shared" si="9"/>
        <v>1079.1835785063975</v>
      </c>
      <c r="M40" s="555">
        <f t="shared" si="9"/>
        <v>1213.7782344665161</v>
      </c>
      <c r="N40" s="316">
        <f t="shared" si="9"/>
        <v>1348.9571412629332</v>
      </c>
      <c r="O40" s="317">
        <f>O30+O38</f>
        <v>1348.9571412629327</v>
      </c>
      <c r="P40" s="671" t="s">
        <v>460</v>
      </c>
      <c r="Q40" s="59" t="s">
        <v>526</v>
      </c>
      <c r="R40" s="343">
        <f t="shared" si="2"/>
        <v>30</v>
      </c>
    </row>
    <row r="41" spans="1:18" ht="16.5" thickTop="1" thickBot="1">
      <c r="A41" s="338">
        <f t="shared" si="1"/>
        <v>31</v>
      </c>
      <c r="B41" s="556"/>
      <c r="C41" s="294"/>
      <c r="D41" s="959"/>
      <c r="E41" s="556"/>
      <c r="F41" s="556"/>
      <c r="G41" s="959" t="s">
        <v>460</v>
      </c>
      <c r="H41" s="959" t="s">
        <v>460</v>
      </c>
      <c r="I41" s="959"/>
      <c r="J41" s="959"/>
      <c r="K41" s="959" t="s">
        <v>460</v>
      </c>
      <c r="L41" s="979"/>
      <c r="M41" s="959" t="s">
        <v>460</v>
      </c>
      <c r="N41" s="959" t="s">
        <v>460</v>
      </c>
      <c r="O41" s="299"/>
      <c r="P41" s="885"/>
      <c r="Q41" s="556"/>
      <c r="R41" s="343">
        <f t="shared" si="2"/>
        <v>31</v>
      </c>
    </row>
    <row r="42" spans="1:18">
      <c r="A42" s="339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325"/>
    </row>
    <row r="43" spans="1:18">
      <c r="A43" s="339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325"/>
    </row>
    <row r="44" spans="1:18">
      <c r="A44" s="671" t="s">
        <v>460</v>
      </c>
      <c r="B44" s="5" t="str">
        <f>'Pg3 Rev App X C7 Summary'!B60</f>
        <v>Items in BOLD have changed to correct the over-allocation of "Duplicate Charges (Company Energy Use)" Credit in FERC Account no. 929.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325"/>
    </row>
    <row r="45" spans="1:18" ht="18">
      <c r="A45" s="340">
        <v>1</v>
      </c>
      <c r="B45" s="60" t="s">
        <v>130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1020"/>
      <c r="P45" s="1020"/>
      <c r="Q45" s="1020"/>
      <c r="R45" s="325"/>
    </row>
    <row r="46" spans="1:18" ht="18">
      <c r="A46" s="340">
        <v>2</v>
      </c>
      <c r="B46" s="60" t="s">
        <v>131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325"/>
    </row>
    <row r="47" spans="1:18">
      <c r="A47" s="325"/>
      <c r="B47" s="60" t="str">
        <f>"a) 1st Month of Quarter = Column a, Line "&amp;A30&amp;" Divided by 2."</f>
        <v>a) 1st Month of Quarter = Column a, Line 20 Divided by 2.</v>
      </c>
      <c r="C47" s="56"/>
      <c r="D47" s="56"/>
      <c r="E47" s="56"/>
      <c r="F47" s="56"/>
      <c r="G47" s="56"/>
    </row>
    <row r="48" spans="1:18">
      <c r="A48" s="325"/>
      <c r="B48" s="60" t="str">
        <f>"b) 2nd Month of Quarter = Column a, Line "&amp;A30&amp;" + (Column b, Line "&amp;A30&amp;" Divided by 2)."</f>
        <v>b) 2nd Month of Quarter = Column a, Line 20 + (Column b, Line 20 Divided by 2).</v>
      </c>
      <c r="C48" s="56"/>
      <c r="D48" s="56"/>
      <c r="E48" s="56"/>
      <c r="F48" s="56"/>
      <c r="G48" s="61"/>
    </row>
    <row r="49" spans="1:7">
      <c r="A49" s="325"/>
      <c r="B49" s="60" t="str">
        <f>"c) 3rd Month of Quarter = Column a, Line "&amp;A30&amp;" + Column b, Line "&amp;A30&amp;" + (Column c, Line "&amp;A30&amp;" Divided by 2)."</f>
        <v>c) 3rd Month of Quarter = Column a, Line 20 + Column b, Line 20 + (Column c, Line 20 Divided by 2).</v>
      </c>
      <c r="C49" s="56"/>
      <c r="D49" s="56"/>
      <c r="E49" s="56"/>
      <c r="F49" s="56"/>
      <c r="G49" s="62"/>
    </row>
    <row r="50" spans="1:7">
      <c r="A50" s="325"/>
      <c r="B50" s="60" t="s">
        <v>132</v>
      </c>
      <c r="C50" s="56"/>
      <c r="D50" s="56"/>
      <c r="E50" s="56"/>
      <c r="F50" s="56"/>
      <c r="G50" s="63"/>
    </row>
    <row r="51" spans="1:7" ht="18">
      <c r="A51" s="340">
        <v>3</v>
      </c>
      <c r="B51" s="60" t="s">
        <v>133</v>
      </c>
      <c r="C51" s="56"/>
      <c r="D51" s="56"/>
      <c r="E51" s="56"/>
      <c r="F51" s="56"/>
      <c r="G51" s="56"/>
    </row>
  </sheetData>
  <mergeCells count="7">
    <mergeCell ref="O45:Q45"/>
    <mergeCell ref="B2:Q2"/>
    <mergeCell ref="B3:Q3"/>
    <mergeCell ref="B4:Q4"/>
    <mergeCell ref="B5:Q5"/>
    <mergeCell ref="C7:G7"/>
    <mergeCell ref="H7:N7"/>
  </mergeCells>
  <printOptions horizontalCentered="1"/>
  <pageMargins left="0.25" right="0.25" top="0.5" bottom="0.5" header="0.35" footer="0.25"/>
  <pageSetup scale="52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15B7-2FA2-4561-B5D6-9071E934EE5D}">
  <sheetPr>
    <pageSetUpPr fitToPage="1"/>
  </sheetPr>
  <dimension ref="A1:U52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73.1796875" style="7" customWidth="1"/>
    <col min="3" max="15" width="10.1796875" style="7" customWidth="1"/>
    <col min="16" max="16" width="2" style="7" bestFit="1" customWidth="1"/>
    <col min="17" max="17" width="35.1796875" style="7" customWidth="1"/>
    <col min="18" max="18" width="5.1796875" style="106" customWidth="1"/>
    <col min="19" max="20" width="8.81640625" style="7"/>
    <col min="21" max="21" width="9.81640625" style="7" bestFit="1" customWidth="1"/>
    <col min="22" max="16384" width="8.81640625" style="7"/>
  </cols>
  <sheetData>
    <row r="1" spans="1:18">
      <c r="A1" s="914" t="s">
        <v>791</v>
      </c>
    </row>
    <row r="3" spans="1:18">
      <c r="B3" s="1013" t="s">
        <v>21</v>
      </c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10"/>
    </row>
    <row r="4" spans="1:18">
      <c r="B4" s="1013" t="s">
        <v>113</v>
      </c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10"/>
    </row>
    <row r="5" spans="1:18">
      <c r="B5" s="1021" t="s">
        <v>514</v>
      </c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339"/>
    </row>
    <row r="6" spans="1:18">
      <c r="B6" s="1022">
        <v>-1000</v>
      </c>
      <c r="C6" s="1022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341"/>
    </row>
    <row r="7" spans="1:18" ht="16" thickBot="1">
      <c r="A7" s="325"/>
      <c r="B7" s="56"/>
      <c r="C7" s="57"/>
      <c r="D7" s="57"/>
      <c r="E7" s="58"/>
      <c r="F7" s="58"/>
      <c r="G7" s="58"/>
      <c r="H7" s="58"/>
      <c r="I7" s="58"/>
      <c r="J7" s="58"/>
      <c r="K7" s="58"/>
      <c r="L7" s="58"/>
      <c r="M7" s="58"/>
      <c r="N7" s="57"/>
      <c r="O7" s="56"/>
      <c r="P7" s="56"/>
      <c r="Q7" s="56"/>
      <c r="R7" s="325"/>
    </row>
    <row r="8" spans="1:18">
      <c r="A8" s="337"/>
      <c r="B8" s="280"/>
      <c r="C8" s="1023" t="s">
        <v>675</v>
      </c>
      <c r="D8" s="1024"/>
      <c r="E8" s="1024"/>
      <c r="F8" s="1024"/>
      <c r="G8" s="1025"/>
      <c r="H8" s="1023" t="s">
        <v>676</v>
      </c>
      <c r="I8" s="1024"/>
      <c r="J8" s="1024"/>
      <c r="K8" s="1024"/>
      <c r="L8" s="1024"/>
      <c r="M8" s="1024"/>
      <c r="N8" s="1025"/>
      <c r="O8" s="300"/>
      <c r="P8" s="879"/>
      <c r="Q8" s="280"/>
      <c r="R8" s="342"/>
    </row>
    <row r="9" spans="1:18">
      <c r="A9" s="338" t="s">
        <v>2</v>
      </c>
      <c r="B9" s="57"/>
      <c r="C9" s="284" t="s">
        <v>7</v>
      </c>
      <c r="D9" s="58" t="s">
        <v>8</v>
      </c>
      <c r="E9" s="58" t="s">
        <v>9</v>
      </c>
      <c r="F9" s="58" t="s">
        <v>10</v>
      </c>
      <c r="G9" s="277" t="s">
        <v>11</v>
      </c>
      <c r="H9" s="284" t="s">
        <v>12</v>
      </c>
      <c r="I9" s="58" t="s">
        <v>13</v>
      </c>
      <c r="J9" s="58" t="s">
        <v>14</v>
      </c>
      <c r="K9" s="58" t="s">
        <v>15</v>
      </c>
      <c r="L9" s="58" t="s">
        <v>16</v>
      </c>
      <c r="M9" s="58" t="s">
        <v>17</v>
      </c>
      <c r="N9" s="277" t="s">
        <v>18</v>
      </c>
      <c r="O9" s="296" t="s">
        <v>19</v>
      </c>
      <c r="P9" s="58"/>
      <c r="Q9" s="57"/>
      <c r="R9" s="343" t="s">
        <v>2</v>
      </c>
    </row>
    <row r="10" spans="1:18">
      <c r="A10" s="338" t="s">
        <v>3</v>
      </c>
      <c r="B10" s="529" t="s">
        <v>114</v>
      </c>
      <c r="C10" s="285" t="s">
        <v>539</v>
      </c>
      <c r="D10" s="530" t="s">
        <v>677</v>
      </c>
      <c r="E10" s="530" t="s">
        <v>678</v>
      </c>
      <c r="F10" s="530" t="s">
        <v>679</v>
      </c>
      <c r="G10" s="286" t="s">
        <v>680</v>
      </c>
      <c r="H10" s="285" t="s">
        <v>681</v>
      </c>
      <c r="I10" s="530" t="s">
        <v>682</v>
      </c>
      <c r="J10" s="530" t="s">
        <v>683</v>
      </c>
      <c r="K10" s="530" t="s">
        <v>684</v>
      </c>
      <c r="L10" s="530" t="s">
        <v>685</v>
      </c>
      <c r="M10" s="530" t="s">
        <v>686</v>
      </c>
      <c r="N10" s="286" t="s">
        <v>540</v>
      </c>
      <c r="O10" s="531" t="s">
        <v>4</v>
      </c>
      <c r="P10" s="529"/>
      <c r="Q10" s="529" t="s">
        <v>5</v>
      </c>
      <c r="R10" s="343" t="s">
        <v>3</v>
      </c>
    </row>
    <row r="11" spans="1:18">
      <c r="A11" s="338"/>
      <c r="B11" s="281"/>
      <c r="C11" s="287"/>
      <c r="D11" s="81"/>
      <c r="E11" s="81"/>
      <c r="F11" s="81"/>
      <c r="G11" s="288"/>
      <c r="H11" s="287"/>
      <c r="I11" s="81"/>
      <c r="J11" s="81"/>
      <c r="K11" s="81"/>
      <c r="L11" s="81"/>
      <c r="M11" s="81"/>
      <c r="N11" s="278"/>
      <c r="O11" s="297"/>
      <c r="P11" s="281"/>
      <c r="Q11" s="58"/>
      <c r="R11" s="343"/>
    </row>
    <row r="12" spans="1:18">
      <c r="A12" s="338">
        <v>1</v>
      </c>
      <c r="B12" s="57" t="s">
        <v>115</v>
      </c>
      <c r="C12" s="408"/>
      <c r="D12" s="409">
        <f>C41</f>
        <v>82.15940671393038</v>
      </c>
      <c r="E12" s="409">
        <f t="shared" ref="E12:N12" si="0">D41</f>
        <v>164.52800612593418</v>
      </c>
      <c r="F12" s="409">
        <f t="shared" si="0"/>
        <v>247.17963095297847</v>
      </c>
      <c r="G12" s="410">
        <f t="shared" si="0"/>
        <v>330.08057655976774</v>
      </c>
      <c r="H12" s="411">
        <f t="shared" si="0"/>
        <v>413.30167805496029</v>
      </c>
      <c r="I12" s="409">
        <f t="shared" si="0"/>
        <v>545.26759177486349</v>
      </c>
      <c r="J12" s="409">
        <f t="shared" si="0"/>
        <v>677.87976557126558</v>
      </c>
      <c r="K12" s="409">
        <f t="shared" si="0"/>
        <v>810.93576296509889</v>
      </c>
      <c r="L12" s="409">
        <f t="shared" si="0"/>
        <v>944.3484231091395</v>
      </c>
      <c r="M12" s="409">
        <f t="shared" si="0"/>
        <v>1078.5193950519183</v>
      </c>
      <c r="N12" s="410">
        <f t="shared" si="0"/>
        <v>1213.0462825674267</v>
      </c>
      <c r="O12" s="412"/>
      <c r="P12" s="339"/>
      <c r="Q12" s="59" t="s">
        <v>515</v>
      </c>
      <c r="R12" s="343">
        <f>A12</f>
        <v>1</v>
      </c>
    </row>
    <row r="13" spans="1:18">
      <c r="A13" s="338">
        <f>A12+1</f>
        <v>2</v>
      </c>
      <c r="B13" s="57"/>
      <c r="C13" s="413"/>
      <c r="D13" s="414"/>
      <c r="E13" s="414"/>
      <c r="F13" s="414"/>
      <c r="G13" s="415"/>
      <c r="H13" s="411"/>
      <c r="I13" s="414"/>
      <c r="J13" s="414"/>
      <c r="K13" s="414"/>
      <c r="L13" s="414"/>
      <c r="M13" s="414"/>
      <c r="N13" s="415"/>
      <c r="O13" s="416"/>
      <c r="P13" s="414"/>
      <c r="Q13" s="57"/>
      <c r="R13" s="343">
        <f>R12+1</f>
        <v>2</v>
      </c>
    </row>
    <row r="14" spans="1:18">
      <c r="A14" s="338">
        <f t="shared" ref="A14:A42" si="1">A13+1</f>
        <v>3</v>
      </c>
      <c r="B14" s="57" t="s">
        <v>116</v>
      </c>
      <c r="C14" s="417">
        <v>0</v>
      </c>
      <c r="D14" s="379">
        <v>0</v>
      </c>
      <c r="E14" s="379">
        <v>0</v>
      </c>
      <c r="F14" s="379">
        <v>0</v>
      </c>
      <c r="G14" s="418">
        <v>0</v>
      </c>
      <c r="H14" s="419">
        <v>0</v>
      </c>
      <c r="I14" s="420">
        <v>0</v>
      </c>
      <c r="J14" s="420">
        <v>0</v>
      </c>
      <c r="K14" s="420">
        <v>0</v>
      </c>
      <c r="L14" s="420">
        <v>0</v>
      </c>
      <c r="M14" s="420">
        <v>0</v>
      </c>
      <c r="N14" s="421">
        <v>0</v>
      </c>
      <c r="O14" s="422">
        <f>SUM(C14:N14)</f>
        <v>0</v>
      </c>
      <c r="P14" s="409"/>
      <c r="Q14" s="59" t="s">
        <v>516</v>
      </c>
      <c r="R14" s="343">
        <f t="shared" ref="R14:R42" si="2">R13+1</f>
        <v>3</v>
      </c>
    </row>
    <row r="15" spans="1:18">
      <c r="A15" s="338">
        <f t="shared" si="1"/>
        <v>4</v>
      </c>
      <c r="B15" s="57"/>
      <c r="C15" s="423"/>
      <c r="D15" s="424"/>
      <c r="E15" s="424"/>
      <c r="F15" s="424"/>
      <c r="G15" s="425"/>
      <c r="H15" s="423"/>
      <c r="I15" s="424"/>
      <c r="J15" s="424"/>
      <c r="K15" s="424"/>
      <c r="L15" s="424"/>
      <c r="M15" s="424"/>
      <c r="N15" s="426"/>
      <c r="O15" s="427"/>
      <c r="P15" s="880"/>
      <c r="Q15" s="59" t="s">
        <v>517</v>
      </c>
      <c r="R15" s="343">
        <f t="shared" si="2"/>
        <v>4</v>
      </c>
    </row>
    <row r="16" spans="1:18">
      <c r="A16" s="338">
        <f t="shared" si="1"/>
        <v>5</v>
      </c>
      <c r="B16" s="57" t="s">
        <v>527</v>
      </c>
      <c r="C16" s="423"/>
      <c r="D16" s="424"/>
      <c r="E16" s="424"/>
      <c r="F16" s="424"/>
      <c r="G16" s="425"/>
      <c r="H16" s="423"/>
      <c r="I16" s="424"/>
      <c r="J16" s="424"/>
      <c r="K16" s="424"/>
      <c r="L16" s="424"/>
      <c r="M16" s="424"/>
      <c r="N16" s="426"/>
      <c r="O16" s="427"/>
      <c r="P16" s="880"/>
      <c r="Q16" s="57"/>
      <c r="R16" s="343">
        <f t="shared" si="2"/>
        <v>5</v>
      </c>
    </row>
    <row r="17" spans="1:21">
      <c r="A17" s="338">
        <f t="shared" si="1"/>
        <v>6</v>
      </c>
      <c r="B17" s="60" t="s">
        <v>528</v>
      </c>
      <c r="C17" s="411"/>
      <c r="D17" s="428"/>
      <c r="E17" s="428"/>
      <c r="F17" s="428"/>
      <c r="G17" s="429"/>
      <c r="H17" s="423"/>
      <c r="I17" s="424"/>
      <c r="J17" s="424"/>
      <c r="K17" s="424"/>
      <c r="L17" s="424"/>
      <c r="M17" s="424"/>
      <c r="N17" s="425"/>
      <c r="O17" s="430">
        <f>SUM(C17:G17)</f>
        <v>0</v>
      </c>
      <c r="P17" s="484"/>
      <c r="Q17" s="59" t="s">
        <v>440</v>
      </c>
      <c r="R17" s="343">
        <f t="shared" si="2"/>
        <v>6</v>
      </c>
    </row>
    <row r="18" spans="1:21">
      <c r="A18" s="338">
        <f t="shared" si="1"/>
        <v>7</v>
      </c>
      <c r="B18" s="60" t="s">
        <v>529</v>
      </c>
      <c r="C18" s="431">
        <v>1</v>
      </c>
      <c r="D18" s="432">
        <v>1</v>
      </c>
      <c r="E18" s="432">
        <v>1</v>
      </c>
      <c r="F18" s="432">
        <v>1</v>
      </c>
      <c r="G18" s="433">
        <v>1</v>
      </c>
      <c r="H18" s="411"/>
      <c r="I18" s="409"/>
      <c r="J18" s="409"/>
      <c r="K18" s="409"/>
      <c r="L18" s="409"/>
      <c r="M18" s="409"/>
      <c r="N18" s="410"/>
      <c r="O18" s="430">
        <f>SUM(C18:G18)</f>
        <v>5</v>
      </c>
      <c r="P18" s="484"/>
      <c r="Q18" s="59" t="s">
        <v>518</v>
      </c>
      <c r="R18" s="343">
        <f t="shared" si="2"/>
        <v>7</v>
      </c>
    </row>
    <row r="19" spans="1:21">
      <c r="A19" s="338">
        <f t="shared" si="1"/>
        <v>8</v>
      </c>
      <c r="B19" s="282"/>
      <c r="C19" s="434"/>
      <c r="D19" s="438"/>
      <c r="E19" s="438"/>
      <c r="F19" s="438"/>
      <c r="G19" s="439"/>
      <c r="H19" s="437"/>
      <c r="I19" s="440"/>
      <c r="J19" s="440"/>
      <c r="K19" s="440"/>
      <c r="L19" s="440"/>
      <c r="M19" s="440"/>
      <c r="N19" s="441"/>
      <c r="O19" s="430"/>
      <c r="P19" s="484"/>
      <c r="Q19" s="59"/>
      <c r="R19" s="343">
        <f t="shared" si="2"/>
        <v>8</v>
      </c>
    </row>
    <row r="20" spans="1:21">
      <c r="A20" s="338">
        <f t="shared" si="1"/>
        <v>9</v>
      </c>
      <c r="B20" s="60" t="s">
        <v>530</v>
      </c>
      <c r="C20" s="431">
        <v>97.5</v>
      </c>
      <c r="D20" s="435">
        <v>97.5</v>
      </c>
      <c r="E20" s="435">
        <v>97.5</v>
      </c>
      <c r="F20" s="435">
        <v>97.5</v>
      </c>
      <c r="G20" s="436">
        <v>97.5</v>
      </c>
      <c r="H20" s="437"/>
      <c r="I20" s="440"/>
      <c r="J20" s="440"/>
      <c r="K20" s="440"/>
      <c r="L20" s="440"/>
      <c r="M20" s="440"/>
      <c r="N20" s="441"/>
      <c r="O20" s="500">
        <f>SUM(C20:G20)</f>
        <v>487.5</v>
      </c>
      <c r="P20" s="484"/>
      <c r="Q20" s="59" t="s">
        <v>519</v>
      </c>
      <c r="R20" s="343">
        <f t="shared" si="2"/>
        <v>9</v>
      </c>
    </row>
    <row r="21" spans="1:21">
      <c r="A21" s="338">
        <f t="shared" si="1"/>
        <v>10</v>
      </c>
      <c r="B21" s="60" t="s">
        <v>531</v>
      </c>
      <c r="C21" s="423"/>
      <c r="D21" s="424"/>
      <c r="E21" s="424"/>
      <c r="F21" s="424"/>
      <c r="G21" s="425"/>
      <c r="H21" s="442">
        <v>4.3</v>
      </c>
      <c r="I21" s="432">
        <v>4.3</v>
      </c>
      <c r="J21" s="432">
        <v>4.3</v>
      </c>
      <c r="K21" s="432">
        <v>4.3</v>
      </c>
      <c r="L21" s="432">
        <v>4.3</v>
      </c>
      <c r="M21" s="432">
        <v>4.3</v>
      </c>
      <c r="N21" s="433">
        <v>4.3</v>
      </c>
      <c r="O21" s="500">
        <f>SUM(H21:N21)</f>
        <v>30.1</v>
      </c>
      <c r="P21" s="484"/>
      <c r="Q21" s="59" t="s">
        <v>520</v>
      </c>
      <c r="R21" s="343">
        <f t="shared" si="2"/>
        <v>10</v>
      </c>
    </row>
    <row r="22" spans="1:21">
      <c r="A22" s="338">
        <f t="shared" si="1"/>
        <v>11</v>
      </c>
      <c r="B22" s="282"/>
      <c r="C22" s="423"/>
      <c r="D22" s="424"/>
      <c r="E22" s="424"/>
      <c r="F22" s="424"/>
      <c r="G22" s="425"/>
      <c r="H22" s="434"/>
      <c r="I22" s="409"/>
      <c r="J22" s="409"/>
      <c r="K22" s="409"/>
      <c r="L22" s="409"/>
      <c r="M22" s="409"/>
      <c r="N22" s="410"/>
      <c r="O22" s="500"/>
      <c r="P22" s="484"/>
      <c r="Q22" s="59"/>
      <c r="R22" s="343">
        <f t="shared" si="2"/>
        <v>11</v>
      </c>
    </row>
    <row r="23" spans="1:21">
      <c r="A23" s="338">
        <f t="shared" si="1"/>
        <v>12</v>
      </c>
      <c r="B23" s="60" t="s">
        <v>532</v>
      </c>
      <c r="C23" s="423"/>
      <c r="D23" s="424"/>
      <c r="E23" s="424"/>
      <c r="F23" s="424"/>
      <c r="G23" s="425"/>
      <c r="H23" s="499">
        <v>45.7</v>
      </c>
      <c r="I23" s="432">
        <v>45.7</v>
      </c>
      <c r="J23" s="432">
        <v>45.7</v>
      </c>
      <c r="K23" s="432">
        <v>45.7</v>
      </c>
      <c r="L23" s="432">
        <v>45.7</v>
      </c>
      <c r="M23" s="432">
        <v>45.7</v>
      </c>
      <c r="N23" s="433">
        <v>45.7</v>
      </c>
      <c r="O23" s="500">
        <f>SUM(H23:N23)</f>
        <v>319.89999999999998</v>
      </c>
      <c r="P23" s="484"/>
      <c r="Q23" s="59" t="s">
        <v>521</v>
      </c>
      <c r="R23" s="343">
        <f t="shared" si="2"/>
        <v>12</v>
      </c>
    </row>
    <row r="24" spans="1:21">
      <c r="A24" s="338">
        <f t="shared" si="1"/>
        <v>13</v>
      </c>
      <c r="B24" s="60" t="s">
        <v>533</v>
      </c>
      <c r="C24" s="423"/>
      <c r="D24" s="424"/>
      <c r="E24" s="424"/>
      <c r="F24" s="424"/>
      <c r="G24" s="424"/>
      <c r="H24" s="423"/>
      <c r="I24" s="424"/>
      <c r="J24" s="424"/>
      <c r="K24" s="443"/>
      <c r="L24" s="424"/>
      <c r="M24" s="424"/>
      <c r="N24" s="501"/>
      <c r="O24" s="502">
        <f>SUM(C24:N24)</f>
        <v>0</v>
      </c>
      <c r="P24" s="881"/>
      <c r="Q24" s="59" t="s">
        <v>440</v>
      </c>
      <c r="R24" s="343">
        <f t="shared" si="2"/>
        <v>13</v>
      </c>
    </row>
    <row r="25" spans="1:21">
      <c r="A25" s="338">
        <f t="shared" si="1"/>
        <v>14</v>
      </c>
      <c r="B25" s="57" t="s">
        <v>117</v>
      </c>
      <c r="C25" s="532">
        <f t="shared" ref="C25:N25" si="3">SUM(C17:C24)</f>
        <v>98.5</v>
      </c>
      <c r="D25" s="444">
        <f t="shared" si="3"/>
        <v>98.5</v>
      </c>
      <c r="E25" s="444">
        <f t="shared" si="3"/>
        <v>98.5</v>
      </c>
      <c r="F25" s="444">
        <f t="shared" si="3"/>
        <v>98.5</v>
      </c>
      <c r="G25" s="445">
        <f t="shared" si="3"/>
        <v>98.5</v>
      </c>
      <c r="H25" s="532">
        <f t="shared" si="3"/>
        <v>50</v>
      </c>
      <c r="I25" s="444">
        <f t="shared" si="3"/>
        <v>50</v>
      </c>
      <c r="J25" s="444">
        <f t="shared" si="3"/>
        <v>50</v>
      </c>
      <c r="K25" s="444">
        <f t="shared" si="3"/>
        <v>50</v>
      </c>
      <c r="L25" s="444">
        <f t="shared" si="3"/>
        <v>50</v>
      </c>
      <c r="M25" s="444">
        <f t="shared" si="3"/>
        <v>50</v>
      </c>
      <c r="N25" s="445">
        <f t="shared" si="3"/>
        <v>50</v>
      </c>
      <c r="O25" s="533">
        <f>SUM(C25:N25)</f>
        <v>842.5</v>
      </c>
      <c r="P25" s="409"/>
      <c r="Q25" s="59" t="s">
        <v>417</v>
      </c>
      <c r="R25" s="343">
        <f t="shared" si="2"/>
        <v>14</v>
      </c>
    </row>
    <row r="26" spans="1:21">
      <c r="A26" s="338">
        <f t="shared" si="1"/>
        <v>15</v>
      </c>
      <c r="B26" s="283"/>
      <c r="C26" s="423"/>
      <c r="D26" s="424"/>
      <c r="E26" s="424"/>
      <c r="F26" s="424"/>
      <c r="G26" s="425"/>
      <c r="H26" s="423"/>
      <c r="I26" s="424"/>
      <c r="J26" s="424"/>
      <c r="K26" s="424"/>
      <c r="L26" s="443"/>
      <c r="M26" s="424"/>
      <c r="N26" s="426"/>
      <c r="O26" s="427"/>
      <c r="P26" s="880"/>
      <c r="Q26" s="57"/>
      <c r="R26" s="343">
        <f t="shared" si="2"/>
        <v>15</v>
      </c>
    </row>
    <row r="27" spans="1:21">
      <c r="A27" s="338">
        <f t="shared" si="1"/>
        <v>16</v>
      </c>
      <c r="B27" s="57" t="s">
        <v>118</v>
      </c>
      <c r="C27" s="446">
        <f t="shared" ref="C27:N27" si="4">C14+C25</f>
        <v>98.5</v>
      </c>
      <c r="D27" s="447">
        <f t="shared" si="4"/>
        <v>98.5</v>
      </c>
      <c r="E27" s="447">
        <f t="shared" si="4"/>
        <v>98.5</v>
      </c>
      <c r="F27" s="447">
        <f t="shared" si="4"/>
        <v>98.5</v>
      </c>
      <c r="G27" s="448">
        <f t="shared" si="4"/>
        <v>98.5</v>
      </c>
      <c r="H27" s="446">
        <f t="shared" si="4"/>
        <v>50</v>
      </c>
      <c r="I27" s="447">
        <f t="shared" si="4"/>
        <v>50</v>
      </c>
      <c r="J27" s="447">
        <f t="shared" si="4"/>
        <v>50</v>
      </c>
      <c r="K27" s="447">
        <f t="shared" si="4"/>
        <v>50</v>
      </c>
      <c r="L27" s="447">
        <f t="shared" si="4"/>
        <v>50</v>
      </c>
      <c r="M27" s="447">
        <f t="shared" si="4"/>
        <v>50</v>
      </c>
      <c r="N27" s="448">
        <f t="shared" si="4"/>
        <v>50</v>
      </c>
      <c r="O27" s="449">
        <f>SUM(C27:N27)</f>
        <v>842.5</v>
      </c>
      <c r="P27" s="447"/>
      <c r="Q27" s="65" t="s">
        <v>522</v>
      </c>
      <c r="R27" s="343">
        <f t="shared" si="2"/>
        <v>16</v>
      </c>
    </row>
    <row r="28" spans="1:21">
      <c r="A28" s="338">
        <f t="shared" si="1"/>
        <v>17</v>
      </c>
      <c r="B28" s="57"/>
      <c r="C28" s="450"/>
      <c r="D28" s="451"/>
      <c r="E28" s="451"/>
      <c r="F28" s="451"/>
      <c r="G28" s="452"/>
      <c r="H28" s="450"/>
      <c r="I28" s="451"/>
      <c r="J28" s="451"/>
      <c r="K28" s="451"/>
      <c r="L28" s="451"/>
      <c r="M28" s="451"/>
      <c r="N28" s="452"/>
      <c r="O28" s="453"/>
      <c r="P28" s="882"/>
      <c r="Q28" s="57"/>
      <c r="R28" s="343">
        <f t="shared" si="2"/>
        <v>17</v>
      </c>
    </row>
    <row r="29" spans="1:21">
      <c r="A29" s="338">
        <f t="shared" si="1"/>
        <v>18</v>
      </c>
      <c r="B29" s="57" t="s">
        <v>119</v>
      </c>
      <c r="C29" s="878">
        <v>180.53635218565191</v>
      </c>
      <c r="D29" s="878">
        <f>$C$29</f>
        <v>180.53635218565191</v>
      </c>
      <c r="E29" s="878">
        <f t="shared" ref="E29:N29" si="5">$C$29</f>
        <v>180.53635218565191</v>
      </c>
      <c r="F29" s="878">
        <f t="shared" si="5"/>
        <v>180.53635218565191</v>
      </c>
      <c r="G29" s="878">
        <f t="shared" si="5"/>
        <v>180.53635218565191</v>
      </c>
      <c r="H29" s="878">
        <f t="shared" si="5"/>
        <v>180.53635218565191</v>
      </c>
      <c r="I29" s="878">
        <f t="shared" si="5"/>
        <v>180.53635218565191</v>
      </c>
      <c r="J29" s="878">
        <f t="shared" si="5"/>
        <v>180.53635218565191</v>
      </c>
      <c r="K29" s="878">
        <f t="shared" si="5"/>
        <v>180.53635218565191</v>
      </c>
      <c r="L29" s="878">
        <f t="shared" si="5"/>
        <v>180.53635218565191</v>
      </c>
      <c r="M29" s="878">
        <f t="shared" si="5"/>
        <v>180.53635218565191</v>
      </c>
      <c r="N29" s="878">
        <f t="shared" si="5"/>
        <v>180.53635218565191</v>
      </c>
      <c r="O29" s="886">
        <f>SUM(C29:N29)</f>
        <v>2166.4362262278223</v>
      </c>
      <c r="P29" s="671" t="s">
        <v>460</v>
      </c>
      <c r="Q29" s="59" t="s">
        <v>746</v>
      </c>
      <c r="R29" s="343">
        <f t="shared" si="2"/>
        <v>18</v>
      </c>
      <c r="U29" s="479"/>
    </row>
    <row r="30" spans="1:21">
      <c r="A30" s="338">
        <f t="shared" si="1"/>
        <v>19</v>
      </c>
      <c r="B30" s="57"/>
      <c r="C30" s="454"/>
      <c r="D30" s="534"/>
      <c r="E30" s="535"/>
      <c r="F30" s="534"/>
      <c r="G30" s="536"/>
      <c r="H30" s="455"/>
      <c r="I30" s="535"/>
      <c r="J30" s="534"/>
      <c r="K30" s="535"/>
      <c r="L30" s="534"/>
      <c r="M30" s="535"/>
      <c r="N30" s="537"/>
      <c r="O30" s="538"/>
      <c r="P30" s="882"/>
      <c r="Q30" s="57"/>
      <c r="R30" s="343">
        <f t="shared" si="2"/>
        <v>19</v>
      </c>
    </row>
    <row r="31" spans="1:21" ht="16" thickBot="1">
      <c r="A31" s="338">
        <f t="shared" si="1"/>
        <v>20</v>
      </c>
      <c r="B31" s="57" t="s">
        <v>120</v>
      </c>
      <c r="C31" s="456">
        <f>C29-C27</f>
        <v>82.036352185651907</v>
      </c>
      <c r="D31" s="539">
        <f t="shared" ref="D31:N31" si="6">D29-D27</f>
        <v>82.036352185651907</v>
      </c>
      <c r="E31" s="539">
        <f t="shared" si="6"/>
        <v>82.036352185651907</v>
      </c>
      <c r="F31" s="539">
        <f t="shared" si="6"/>
        <v>82.036352185651907</v>
      </c>
      <c r="G31" s="457">
        <f t="shared" si="6"/>
        <v>82.036352185651907</v>
      </c>
      <c r="H31" s="456">
        <f t="shared" si="6"/>
        <v>130.53635218565191</v>
      </c>
      <c r="I31" s="539">
        <f t="shared" si="6"/>
        <v>130.53635218565191</v>
      </c>
      <c r="J31" s="539">
        <f t="shared" si="6"/>
        <v>130.53635218565191</v>
      </c>
      <c r="K31" s="539">
        <f t="shared" si="6"/>
        <v>130.53635218565191</v>
      </c>
      <c r="L31" s="539">
        <f t="shared" si="6"/>
        <v>130.53635218565191</v>
      </c>
      <c r="M31" s="539">
        <f t="shared" si="6"/>
        <v>130.53635218565191</v>
      </c>
      <c r="N31" s="457">
        <f t="shared" si="6"/>
        <v>130.53635218565191</v>
      </c>
      <c r="O31" s="458">
        <f>O29-O27</f>
        <v>1323.9362262278223</v>
      </c>
      <c r="P31" s="671" t="s">
        <v>460</v>
      </c>
      <c r="Q31" s="59" t="s">
        <v>523</v>
      </c>
      <c r="R31" s="343">
        <f t="shared" si="2"/>
        <v>20</v>
      </c>
    </row>
    <row r="32" spans="1:21" ht="16.5" thickTop="1" thickBot="1">
      <c r="A32" s="338">
        <f t="shared" si="1"/>
        <v>21</v>
      </c>
      <c r="B32" s="57"/>
      <c r="C32" s="289"/>
      <c r="D32" s="57"/>
      <c r="E32" s="57"/>
      <c r="F32" s="57"/>
      <c r="G32" s="278"/>
      <c r="H32" s="289"/>
      <c r="I32" s="57"/>
      <c r="J32" s="57"/>
      <c r="K32" s="57"/>
      <c r="L32" s="57"/>
      <c r="M32" s="57"/>
      <c r="N32" s="278"/>
      <c r="O32" s="298"/>
      <c r="P32" s="883"/>
      <c r="Q32" s="57"/>
      <c r="R32" s="343">
        <f t="shared" si="2"/>
        <v>21</v>
      </c>
    </row>
    <row r="33" spans="1:18">
      <c r="A33" s="338">
        <f t="shared" si="1"/>
        <v>22</v>
      </c>
      <c r="B33" s="540"/>
      <c r="C33" s="541"/>
      <c r="D33" s="280"/>
      <c r="E33" s="280"/>
      <c r="F33" s="280"/>
      <c r="G33" s="542"/>
      <c r="H33" s="541"/>
      <c r="I33" s="280"/>
      <c r="J33" s="280"/>
      <c r="K33" s="280"/>
      <c r="L33" s="280"/>
      <c r="M33" s="280"/>
      <c r="N33" s="542"/>
      <c r="O33" s="543"/>
      <c r="P33" s="884"/>
      <c r="Q33" s="544"/>
      <c r="R33" s="343">
        <f t="shared" si="2"/>
        <v>22</v>
      </c>
    </row>
    <row r="34" spans="1:18">
      <c r="A34" s="338">
        <f t="shared" si="1"/>
        <v>23</v>
      </c>
      <c r="B34" s="57" t="s">
        <v>121</v>
      </c>
      <c r="C34" s="289"/>
      <c r="D34" s="57"/>
      <c r="E34" s="57"/>
      <c r="F34" s="57"/>
      <c r="G34" s="278"/>
      <c r="H34" s="289"/>
      <c r="I34" s="57"/>
      <c r="J34" s="57"/>
      <c r="K34" s="57"/>
      <c r="L34" s="57"/>
      <c r="M34" s="57"/>
      <c r="N34" s="278"/>
      <c r="O34" s="298"/>
      <c r="P34" s="883"/>
      <c r="Q34" s="57"/>
      <c r="R34" s="343">
        <f t="shared" si="2"/>
        <v>23</v>
      </c>
    </row>
    <row r="35" spans="1:18">
      <c r="A35" s="338">
        <f t="shared" si="1"/>
        <v>24</v>
      </c>
      <c r="B35" s="60" t="s">
        <v>534</v>
      </c>
      <c r="C35" s="291">
        <v>0</v>
      </c>
      <c r="D35" s="64">
        <v>0</v>
      </c>
      <c r="E35" s="64">
        <v>0</v>
      </c>
      <c r="F35" s="64">
        <f>E41</f>
        <v>247.17963095297847</v>
      </c>
      <c r="G35" s="290">
        <f>E41</f>
        <v>247.17963095297847</v>
      </c>
      <c r="H35" s="291">
        <f>E41</f>
        <v>247.17963095297847</v>
      </c>
      <c r="I35" s="64">
        <f>H41</f>
        <v>545.26759177486349</v>
      </c>
      <c r="J35" s="64">
        <f>H41</f>
        <v>545.26759177486349</v>
      </c>
      <c r="K35" s="64">
        <f>H41</f>
        <v>545.26759177486349</v>
      </c>
      <c r="L35" s="64">
        <f>K41</f>
        <v>944.3484231091395</v>
      </c>
      <c r="M35" s="64">
        <f>K41</f>
        <v>944.3484231091395</v>
      </c>
      <c r="N35" s="290">
        <f>K41</f>
        <v>944.3484231091395</v>
      </c>
      <c r="O35" s="298"/>
      <c r="P35" s="883"/>
      <c r="Q35" s="59" t="s">
        <v>122</v>
      </c>
      <c r="R35" s="343">
        <f t="shared" si="2"/>
        <v>24</v>
      </c>
    </row>
    <row r="36" spans="1:18">
      <c r="A36" s="338">
        <f t="shared" si="1"/>
        <v>25</v>
      </c>
      <c r="B36" s="60" t="s">
        <v>123</v>
      </c>
      <c r="C36" s="308">
        <f>C31/2</f>
        <v>41.018176092825954</v>
      </c>
      <c r="D36" s="545">
        <f>C31+(D31/2)</f>
        <v>123.05452827847786</v>
      </c>
      <c r="E36" s="545">
        <f>C31+D31+(E31/2)</f>
        <v>205.09088046412978</v>
      </c>
      <c r="F36" s="545">
        <f>F31/2</f>
        <v>41.018176092825954</v>
      </c>
      <c r="G36" s="309">
        <f>F31+(G31/2)</f>
        <v>123.05452827847786</v>
      </c>
      <c r="H36" s="308">
        <f>F31+G31+(H31/2)</f>
        <v>229.34088046412978</v>
      </c>
      <c r="I36" s="304">
        <f>I31/2</f>
        <v>65.268176092825954</v>
      </c>
      <c r="J36" s="304">
        <f>I31+(J31/2)</f>
        <v>195.80452827847785</v>
      </c>
      <c r="K36" s="304">
        <f>I31+J31+(K31/2)</f>
        <v>326.34088046412978</v>
      </c>
      <c r="L36" s="304">
        <f>L31/2</f>
        <v>65.268176092825954</v>
      </c>
      <c r="M36" s="304">
        <f>L31+(M31/2)</f>
        <v>195.80452827847785</v>
      </c>
      <c r="N36" s="309">
        <f>L31+M31+(N31/2)</f>
        <v>326.34088046412978</v>
      </c>
      <c r="O36" s="298"/>
      <c r="P36" s="883"/>
      <c r="Q36" s="59" t="s">
        <v>124</v>
      </c>
      <c r="R36" s="343">
        <f t="shared" si="2"/>
        <v>25</v>
      </c>
    </row>
    <row r="37" spans="1:18">
      <c r="A37" s="338">
        <f t="shared" si="1"/>
        <v>26</v>
      </c>
      <c r="B37" s="60" t="s">
        <v>125</v>
      </c>
      <c r="C37" s="546">
        <f>SUM(C35:C36)</f>
        <v>41.018176092825954</v>
      </c>
      <c r="D37" s="547">
        <f t="shared" ref="D37:N37" si="7">SUM(D35:D36)</f>
        <v>123.05452827847786</v>
      </c>
      <c r="E37" s="547">
        <f t="shared" si="7"/>
        <v>205.09088046412978</v>
      </c>
      <c r="F37" s="547">
        <f t="shared" si="7"/>
        <v>288.19780704580444</v>
      </c>
      <c r="G37" s="548">
        <f t="shared" si="7"/>
        <v>370.23415923145632</v>
      </c>
      <c r="H37" s="546">
        <f t="shared" si="7"/>
        <v>476.52051141710825</v>
      </c>
      <c r="I37" s="547">
        <f t="shared" si="7"/>
        <v>610.5357678676894</v>
      </c>
      <c r="J37" s="547">
        <f t="shared" si="7"/>
        <v>741.07212005334134</v>
      </c>
      <c r="K37" s="547">
        <f t="shared" si="7"/>
        <v>871.60847223899327</v>
      </c>
      <c r="L37" s="547">
        <f t="shared" si="7"/>
        <v>1009.6165992019654</v>
      </c>
      <c r="M37" s="547">
        <f t="shared" si="7"/>
        <v>1140.1529513876173</v>
      </c>
      <c r="N37" s="548">
        <f t="shared" si="7"/>
        <v>1270.6893035732692</v>
      </c>
      <c r="O37" s="298"/>
      <c r="P37" s="883"/>
      <c r="Q37" s="59" t="s">
        <v>524</v>
      </c>
      <c r="R37" s="343">
        <f t="shared" si="2"/>
        <v>26</v>
      </c>
    </row>
    <row r="38" spans="1:18">
      <c r="A38" s="338">
        <f t="shared" si="1"/>
        <v>27</v>
      </c>
      <c r="B38" s="60" t="s">
        <v>126</v>
      </c>
      <c r="C38" s="292">
        <v>3.0000000000000001E-3</v>
      </c>
      <c r="D38" s="549">
        <v>2.7000000000000001E-3</v>
      </c>
      <c r="E38" s="550">
        <v>3.0000000000000001E-3</v>
      </c>
      <c r="F38" s="550">
        <v>3.0000000000000001E-3</v>
      </c>
      <c r="G38" s="293">
        <v>3.2000000000000002E-3</v>
      </c>
      <c r="H38" s="292">
        <v>3.0000000000000001E-3</v>
      </c>
      <c r="I38" s="550">
        <v>3.3999999999999998E-3</v>
      </c>
      <c r="J38" s="550">
        <v>3.3999999999999998E-3</v>
      </c>
      <c r="K38" s="550">
        <v>3.3E-3</v>
      </c>
      <c r="L38" s="550">
        <v>3.5999999999999999E-3</v>
      </c>
      <c r="M38" s="550">
        <v>3.5000000000000001E-3</v>
      </c>
      <c r="N38" s="295">
        <v>3.5999999999999999E-3</v>
      </c>
      <c r="O38" s="298"/>
      <c r="P38" s="883"/>
      <c r="Q38" s="59" t="s">
        <v>127</v>
      </c>
      <c r="R38" s="343">
        <f t="shared" si="2"/>
        <v>27</v>
      </c>
    </row>
    <row r="39" spans="1:18">
      <c r="A39" s="338">
        <f t="shared" si="1"/>
        <v>28</v>
      </c>
      <c r="B39" s="60" t="s">
        <v>128</v>
      </c>
      <c r="C39" s="551">
        <f>C37*C38</f>
        <v>0.12305452827847786</v>
      </c>
      <c r="D39" s="552">
        <f t="shared" ref="D39:N39" si="8">D37*D38</f>
        <v>0.33224722635189025</v>
      </c>
      <c r="E39" s="552">
        <f t="shared" si="8"/>
        <v>0.61527264139238935</v>
      </c>
      <c r="F39" s="552">
        <f t="shared" si="8"/>
        <v>0.86459342113741333</v>
      </c>
      <c r="G39" s="553">
        <f t="shared" si="8"/>
        <v>1.1847493095406603</v>
      </c>
      <c r="H39" s="551">
        <f t="shared" si="8"/>
        <v>1.4295615342513248</v>
      </c>
      <c r="I39" s="552">
        <f t="shared" si="8"/>
        <v>2.0758216107501437</v>
      </c>
      <c r="J39" s="552">
        <f t="shared" si="8"/>
        <v>2.5196452081813603</v>
      </c>
      <c r="K39" s="552">
        <f t="shared" si="8"/>
        <v>2.8763079583886779</v>
      </c>
      <c r="L39" s="552">
        <f t="shared" si="8"/>
        <v>3.6346197571270755</v>
      </c>
      <c r="M39" s="552">
        <f t="shared" si="8"/>
        <v>3.9905353298566606</v>
      </c>
      <c r="N39" s="553">
        <f t="shared" si="8"/>
        <v>4.5744814928637689</v>
      </c>
      <c r="O39" s="906">
        <f>SUM(C39:N39)</f>
        <v>24.220890018119839</v>
      </c>
      <c r="P39" s="671" t="s">
        <v>460</v>
      </c>
      <c r="Q39" s="59" t="s">
        <v>525</v>
      </c>
      <c r="R39" s="343">
        <f t="shared" si="2"/>
        <v>28</v>
      </c>
    </row>
    <row r="40" spans="1:18">
      <c r="A40" s="338">
        <f t="shared" si="1"/>
        <v>29</v>
      </c>
      <c r="B40" s="57"/>
      <c r="C40" s="289"/>
      <c r="D40" s="57"/>
      <c r="E40" s="57"/>
      <c r="F40" s="57"/>
      <c r="G40" s="278"/>
      <c r="H40" s="289"/>
      <c r="I40" s="57"/>
      <c r="J40" s="57"/>
      <c r="K40" s="57"/>
      <c r="L40" s="57"/>
      <c r="M40" s="57"/>
      <c r="N40" s="278"/>
      <c r="O40" s="298"/>
      <c r="P40" s="883"/>
      <c r="Q40" s="57"/>
      <c r="R40" s="343">
        <f t="shared" si="2"/>
        <v>29</v>
      </c>
    </row>
    <row r="41" spans="1:18" ht="16" thickBot="1">
      <c r="A41" s="338">
        <f t="shared" si="1"/>
        <v>30</v>
      </c>
      <c r="B41" s="57" t="s">
        <v>129</v>
      </c>
      <c r="C41" s="315">
        <f t="shared" ref="C41:N41" si="9">C12+C31+C39</f>
        <v>82.15940671393038</v>
      </c>
      <c r="D41" s="555">
        <f t="shared" si="9"/>
        <v>164.52800612593418</v>
      </c>
      <c r="E41" s="555">
        <f t="shared" si="9"/>
        <v>247.17963095297847</v>
      </c>
      <c r="F41" s="555">
        <f t="shared" si="9"/>
        <v>330.08057655976774</v>
      </c>
      <c r="G41" s="316">
        <f t="shared" si="9"/>
        <v>413.30167805496029</v>
      </c>
      <c r="H41" s="315">
        <f t="shared" si="9"/>
        <v>545.26759177486349</v>
      </c>
      <c r="I41" s="555">
        <f t="shared" si="9"/>
        <v>677.87976557126558</v>
      </c>
      <c r="J41" s="555">
        <f t="shared" si="9"/>
        <v>810.93576296509889</v>
      </c>
      <c r="K41" s="555">
        <f t="shared" si="9"/>
        <v>944.3484231091395</v>
      </c>
      <c r="L41" s="555">
        <f t="shared" si="9"/>
        <v>1078.5193950519183</v>
      </c>
      <c r="M41" s="555">
        <f t="shared" si="9"/>
        <v>1213.0462825674267</v>
      </c>
      <c r="N41" s="316">
        <f t="shared" si="9"/>
        <v>1348.1571162459422</v>
      </c>
      <c r="O41" s="317">
        <f>O31+O39</f>
        <v>1348.1571162459422</v>
      </c>
      <c r="P41" s="671" t="s">
        <v>460</v>
      </c>
      <c r="Q41" s="59" t="s">
        <v>526</v>
      </c>
      <c r="R41" s="343">
        <f t="shared" si="2"/>
        <v>30</v>
      </c>
    </row>
    <row r="42" spans="1:18" ht="16.5" thickTop="1" thickBot="1">
      <c r="A42" s="338">
        <f t="shared" si="1"/>
        <v>31</v>
      </c>
      <c r="B42" s="556"/>
      <c r="C42" s="294"/>
      <c r="D42" s="556"/>
      <c r="E42" s="556"/>
      <c r="F42" s="556"/>
      <c r="G42" s="279"/>
      <c r="H42" s="294"/>
      <c r="I42" s="556"/>
      <c r="J42" s="556"/>
      <c r="K42" s="556"/>
      <c r="L42" s="556"/>
      <c r="M42" s="556"/>
      <c r="N42" s="279"/>
      <c r="O42" s="299"/>
      <c r="P42" s="885"/>
      <c r="Q42" s="556"/>
      <c r="R42" s="343">
        <f t="shared" si="2"/>
        <v>31</v>
      </c>
    </row>
    <row r="43" spans="1:18">
      <c r="A43" s="339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325"/>
    </row>
    <row r="44" spans="1:18">
      <c r="A44" s="33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325"/>
    </row>
    <row r="45" spans="1:18">
      <c r="A45" s="671" t="s">
        <v>460</v>
      </c>
      <c r="B45" s="5" t="s">
        <v>687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325"/>
    </row>
    <row r="46" spans="1:18" ht="18">
      <c r="A46" s="340">
        <v>1</v>
      </c>
      <c r="B46" s="60" t="s">
        <v>130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1020"/>
      <c r="P46" s="1020"/>
      <c r="Q46" s="1020"/>
      <c r="R46" s="325"/>
    </row>
    <row r="47" spans="1:18" ht="18">
      <c r="A47" s="340">
        <v>2</v>
      </c>
      <c r="B47" s="60" t="s">
        <v>131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325"/>
    </row>
    <row r="48" spans="1:18">
      <c r="A48" s="325"/>
      <c r="B48" s="60" t="str">
        <f>"a) 1st Month of Quarter = Column a, Line "&amp;A31&amp;" Divided by 2."</f>
        <v>a) 1st Month of Quarter = Column a, Line 20 Divided by 2.</v>
      </c>
      <c r="C48" s="56"/>
      <c r="D48" s="56"/>
      <c r="E48" s="56"/>
      <c r="F48" s="56"/>
      <c r="G48" s="56"/>
    </row>
    <row r="49" spans="1:7">
      <c r="A49" s="325"/>
      <c r="B49" s="60" t="str">
        <f>"b) 2nd Month of Quarter = Column a, Line "&amp;A31&amp;" + (Column b, Line "&amp;A31&amp;" Divided by 2)."</f>
        <v>b) 2nd Month of Quarter = Column a, Line 20 + (Column b, Line 20 Divided by 2).</v>
      </c>
      <c r="C49" s="56"/>
      <c r="D49" s="56"/>
      <c r="E49" s="56"/>
      <c r="F49" s="56"/>
      <c r="G49" s="61"/>
    </row>
    <row r="50" spans="1:7">
      <c r="A50" s="325"/>
      <c r="B50" s="60" t="str">
        <f>"c) 3rd Month of Quarter = Column a, Line "&amp;A31&amp;" + Column b, Line "&amp;A31&amp;" + (Column c, Line "&amp;A31&amp;" Divided by 2)."</f>
        <v>c) 3rd Month of Quarter = Column a, Line 20 + Column b, Line 20 + (Column c, Line 20 Divided by 2).</v>
      </c>
      <c r="C50" s="56"/>
      <c r="D50" s="56"/>
      <c r="E50" s="56"/>
      <c r="F50" s="56"/>
      <c r="G50" s="62"/>
    </row>
    <row r="51" spans="1:7">
      <c r="A51" s="325"/>
      <c r="B51" s="60" t="s">
        <v>132</v>
      </c>
      <c r="C51" s="56"/>
      <c r="D51" s="56"/>
      <c r="E51" s="56"/>
      <c r="F51" s="56"/>
      <c r="G51" s="63"/>
    </row>
    <row r="52" spans="1:7" ht="18">
      <c r="A52" s="340">
        <v>3</v>
      </c>
      <c r="B52" s="60" t="s">
        <v>133</v>
      </c>
      <c r="C52" s="56"/>
      <c r="D52" s="56"/>
      <c r="E52" s="56"/>
      <c r="F52" s="56"/>
      <c r="G52" s="56"/>
    </row>
  </sheetData>
  <mergeCells count="7">
    <mergeCell ref="B6:Q6"/>
    <mergeCell ref="C8:G8"/>
    <mergeCell ref="H8:N8"/>
    <mergeCell ref="O46:Q46"/>
    <mergeCell ref="B3:Q3"/>
    <mergeCell ref="B4:Q4"/>
    <mergeCell ref="B5:Q5"/>
  </mergeCells>
  <printOptions horizontalCentered="1"/>
  <pageMargins left="0.5" right="0.5" top="0.5" bottom="0.5" header="0.35" footer="0.25"/>
  <pageSetup scale="50" orientation="landscape" r:id="rId1"/>
  <headerFooter scaleWithDoc="0" alignWithMargins="0">
    <oddHeader>&amp;C&amp;"Times New Roman,Bold"&amp;6AS FILED SEC 4A-TU WITH FERC AUDIT ADJ INCL IN APPENDIX X CYCLE 12 (ER24-176)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9863-B295-44D4-8EC7-39B3D8E9DCA4}">
  <sheetPr>
    <pageSetUpPr fitToPage="1"/>
  </sheetPr>
  <dimension ref="A2:J28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79.54296875" style="7" customWidth="1"/>
    <col min="3" max="3" width="1.54296875" style="7" customWidth="1"/>
    <col min="4" max="4" width="16.81640625" style="7" customWidth="1"/>
    <col min="5" max="5" width="1.54296875" style="7" customWidth="1"/>
    <col min="6" max="6" width="45.81640625" style="7" bestFit="1" customWidth="1"/>
    <col min="7" max="7" width="5.1796875" style="106" customWidth="1"/>
    <col min="8" max="16384" width="8.81640625" style="7"/>
  </cols>
  <sheetData>
    <row r="2" spans="1:10">
      <c r="A2" s="325"/>
      <c r="B2" s="1026" t="s">
        <v>21</v>
      </c>
      <c r="C2" s="1026"/>
      <c r="D2" s="1026"/>
      <c r="E2" s="1026"/>
      <c r="F2" s="1026"/>
      <c r="G2" s="325"/>
    </row>
    <row r="3" spans="1:10">
      <c r="A3" s="325"/>
      <c r="B3" s="1026" t="s">
        <v>134</v>
      </c>
      <c r="C3" s="1026"/>
      <c r="D3" s="1026"/>
      <c r="E3" s="1026"/>
      <c r="F3" s="1026"/>
      <c r="G3" s="325"/>
    </row>
    <row r="4" spans="1:10">
      <c r="A4" s="325"/>
      <c r="B4" s="1026" t="s">
        <v>535</v>
      </c>
      <c r="C4" s="1026"/>
      <c r="D4" s="1026"/>
      <c r="E4" s="1026"/>
      <c r="F4" s="1026"/>
      <c r="G4" s="325"/>
    </row>
    <row r="5" spans="1:10">
      <c r="A5" s="325"/>
      <c r="B5" s="1027">
        <v>-1000</v>
      </c>
      <c r="C5" s="1027"/>
      <c r="D5" s="1027"/>
      <c r="E5" s="1027"/>
      <c r="F5" s="1027"/>
      <c r="G5" s="325"/>
    </row>
    <row r="7" spans="1:10">
      <c r="A7" s="344" t="s">
        <v>2</v>
      </c>
      <c r="B7" s="75"/>
      <c r="C7" s="75"/>
      <c r="D7" s="56"/>
      <c r="E7" s="56"/>
      <c r="F7" s="56"/>
      <c r="G7" s="344" t="s">
        <v>2</v>
      </c>
    </row>
    <row r="8" spans="1:10" ht="18.5">
      <c r="A8" s="344" t="s">
        <v>3</v>
      </c>
      <c r="B8" s="558" t="s">
        <v>114</v>
      </c>
      <c r="C8" s="75"/>
      <c r="D8" s="558" t="s">
        <v>33</v>
      </c>
      <c r="E8" s="72"/>
      <c r="F8" s="558" t="s">
        <v>135</v>
      </c>
      <c r="G8" s="344" t="s">
        <v>3</v>
      </c>
    </row>
    <row r="9" spans="1:10">
      <c r="A9" s="344"/>
      <c r="B9" s="73"/>
      <c r="C9" s="75"/>
      <c r="D9" s="74"/>
      <c r="E9" s="75"/>
      <c r="F9" s="75"/>
      <c r="G9" s="344"/>
    </row>
    <row r="10" spans="1:10">
      <c r="A10" s="344">
        <v>1</v>
      </c>
      <c r="B10" s="76" t="s">
        <v>136</v>
      </c>
      <c r="C10" s="76"/>
      <c r="D10" s="409">
        <v>73.082047123374281</v>
      </c>
      <c r="E10" s="75"/>
      <c r="F10" s="72" t="s">
        <v>694</v>
      </c>
      <c r="G10" s="344">
        <f>A10</f>
        <v>1</v>
      </c>
    </row>
    <row r="11" spans="1:10">
      <c r="A11" s="344">
        <f>A10+1</f>
        <v>2</v>
      </c>
      <c r="B11" s="71"/>
      <c r="C11" s="76"/>
      <c r="D11" s="460"/>
      <c r="E11" s="77"/>
      <c r="F11" s="72"/>
      <c r="G11" s="344">
        <f>G10+1</f>
        <v>2</v>
      </c>
    </row>
    <row r="12" spans="1:10">
      <c r="A12" s="344">
        <f t="shared" ref="A12:A23" si="0">A11+1</f>
        <v>3</v>
      </c>
      <c r="B12" s="76" t="s">
        <v>137</v>
      </c>
      <c r="C12" s="76"/>
      <c r="D12" s="877">
        <f>'Pg5 Rev Sec 2 Non-Direct Exp'!E41</f>
        <v>1556.5960359496958</v>
      </c>
      <c r="E12" s="671" t="s">
        <v>460</v>
      </c>
      <c r="F12" s="72" t="s">
        <v>797</v>
      </c>
      <c r="G12" s="344">
        <f t="shared" ref="G12:G23" si="1">G11+1</f>
        <v>3</v>
      </c>
    </row>
    <row r="13" spans="1:10">
      <c r="A13" s="344">
        <f t="shared" si="0"/>
        <v>4</v>
      </c>
      <c r="B13" s="71"/>
      <c r="C13" s="76"/>
      <c r="D13" s="460"/>
      <c r="E13" s="77"/>
      <c r="F13" s="72"/>
      <c r="G13" s="344">
        <f t="shared" si="1"/>
        <v>4</v>
      </c>
    </row>
    <row r="14" spans="1:10">
      <c r="A14" s="344">
        <f t="shared" si="0"/>
        <v>5</v>
      </c>
      <c r="B14" s="76" t="s">
        <v>138</v>
      </c>
      <c r="C14" s="76"/>
      <c r="D14" s="460"/>
      <c r="E14" s="77"/>
      <c r="F14" s="72"/>
      <c r="G14" s="344">
        <f t="shared" si="1"/>
        <v>5</v>
      </c>
    </row>
    <row r="15" spans="1:10">
      <c r="A15" s="344">
        <f t="shared" si="0"/>
        <v>6</v>
      </c>
      <c r="B15" s="71" t="s">
        <v>139</v>
      </c>
      <c r="C15" s="71"/>
      <c r="D15" s="484">
        <v>-161.41013305227202</v>
      </c>
      <c r="E15" s="75"/>
      <c r="F15" s="72" t="s">
        <v>696</v>
      </c>
      <c r="G15" s="344">
        <f t="shared" si="1"/>
        <v>6</v>
      </c>
      <c r="J15" s="482"/>
    </row>
    <row r="16" spans="1:10">
      <c r="A16" s="344">
        <f t="shared" si="0"/>
        <v>7</v>
      </c>
      <c r="B16" s="71" t="s">
        <v>140</v>
      </c>
      <c r="C16" s="71"/>
      <c r="D16" s="484">
        <v>622.27436836011827</v>
      </c>
      <c r="E16" s="75"/>
      <c r="F16" s="72" t="s">
        <v>697</v>
      </c>
      <c r="G16" s="344">
        <f t="shared" si="1"/>
        <v>7</v>
      </c>
    </row>
    <row r="17" spans="1:7">
      <c r="A17" s="344">
        <f t="shared" si="0"/>
        <v>8</v>
      </c>
      <c r="B17" s="71" t="s">
        <v>141</v>
      </c>
      <c r="C17" s="71"/>
      <c r="D17" s="484">
        <v>76.67795653445603</v>
      </c>
      <c r="E17" s="75"/>
      <c r="F17" s="72" t="s">
        <v>698</v>
      </c>
      <c r="G17" s="344">
        <f t="shared" si="1"/>
        <v>8</v>
      </c>
    </row>
    <row r="18" spans="1:7">
      <c r="A18" s="344">
        <f t="shared" si="0"/>
        <v>9</v>
      </c>
      <c r="B18" s="71" t="s">
        <v>142</v>
      </c>
      <c r="C18" s="71"/>
      <c r="D18" s="460"/>
      <c r="E18" s="77"/>
      <c r="F18" s="72"/>
      <c r="G18" s="344">
        <f t="shared" si="1"/>
        <v>9</v>
      </c>
    </row>
    <row r="19" spans="1:7">
      <c r="A19" s="344">
        <f t="shared" si="0"/>
        <v>10</v>
      </c>
      <c r="B19" s="71" t="s">
        <v>143</v>
      </c>
      <c r="C19" s="71"/>
      <c r="D19" s="559">
        <v>0</v>
      </c>
      <c r="E19" s="75"/>
      <c r="F19" s="72" t="s">
        <v>699</v>
      </c>
      <c r="G19" s="344">
        <f t="shared" si="1"/>
        <v>10</v>
      </c>
    </row>
    <row r="20" spans="1:7">
      <c r="A20" s="344">
        <f t="shared" si="0"/>
        <v>11</v>
      </c>
      <c r="B20" s="76"/>
      <c r="C20" s="76"/>
      <c r="D20" s="460"/>
      <c r="E20" s="75"/>
      <c r="F20" s="72"/>
      <c r="G20" s="344">
        <f t="shared" si="1"/>
        <v>11</v>
      </c>
    </row>
    <row r="21" spans="1:7" ht="16" thickBot="1">
      <c r="A21" s="344">
        <f t="shared" si="0"/>
        <v>12</v>
      </c>
      <c r="B21" s="76" t="s">
        <v>144</v>
      </c>
      <c r="C21" s="76"/>
      <c r="D21" s="539">
        <f>SUM(D10:D19)</f>
        <v>2167.2202749153721</v>
      </c>
      <c r="E21" s="671" t="s">
        <v>460</v>
      </c>
      <c r="F21" s="72" t="s">
        <v>536</v>
      </c>
      <c r="G21" s="344">
        <f t="shared" si="1"/>
        <v>12</v>
      </c>
    </row>
    <row r="22" spans="1:7" ht="16" thickTop="1">
      <c r="A22" s="344">
        <f t="shared" si="0"/>
        <v>13</v>
      </c>
      <c r="B22" s="71"/>
      <c r="C22" s="76"/>
      <c r="D22" s="461"/>
      <c r="E22" s="78"/>
      <c r="F22" s="72"/>
      <c r="G22" s="344">
        <f t="shared" si="1"/>
        <v>13</v>
      </c>
    </row>
    <row r="23" spans="1:7" ht="16" thickBot="1">
      <c r="A23" s="344">
        <f t="shared" si="0"/>
        <v>14</v>
      </c>
      <c r="B23" s="71" t="s">
        <v>145</v>
      </c>
      <c r="C23" s="76"/>
      <c r="D23" s="560">
        <f>D21/12</f>
        <v>180.60168957628102</v>
      </c>
      <c r="F23" s="72" t="s">
        <v>537</v>
      </c>
      <c r="G23" s="344">
        <f t="shared" si="1"/>
        <v>14</v>
      </c>
    </row>
    <row r="24" spans="1:7" ht="16" thickTop="1">
      <c r="A24" s="344"/>
      <c r="B24" s="76"/>
      <c r="C24" s="76"/>
      <c r="D24" s="76"/>
      <c r="E24" s="76"/>
      <c r="F24" s="75"/>
      <c r="G24" s="344"/>
    </row>
    <row r="25" spans="1:7">
      <c r="A25" s="344"/>
      <c r="B25" s="76"/>
      <c r="C25" s="76"/>
      <c r="D25" s="76"/>
      <c r="E25" s="76"/>
      <c r="F25" s="75"/>
      <c r="G25" s="344"/>
    </row>
    <row r="26" spans="1:7">
      <c r="A26" s="671" t="s">
        <v>460</v>
      </c>
      <c r="B26" s="5" t="str">
        <f>'Pg3 Rev App X C7 Summary'!B60</f>
        <v>Items in BOLD have changed to correct the over-allocation of "Duplicate Charges (Company Energy Use)" Credit in FERC Account no. 929.</v>
      </c>
      <c r="C26" s="76"/>
      <c r="D26" s="76"/>
      <c r="E26" s="76"/>
      <c r="F26" s="76"/>
      <c r="G26" s="344"/>
    </row>
    <row r="27" spans="1:7" ht="18">
      <c r="A27" s="345">
        <v>1</v>
      </c>
      <c r="B27" s="71" t="s">
        <v>538</v>
      </c>
      <c r="C27" s="71"/>
      <c r="D27" s="76"/>
      <c r="E27" s="76"/>
      <c r="F27" s="76"/>
      <c r="G27" s="346"/>
    </row>
    <row r="28" spans="1:7">
      <c r="A28" s="346"/>
      <c r="B28" s="56"/>
      <c r="C28" s="56"/>
      <c r="D28" s="76"/>
      <c r="E28" s="76"/>
      <c r="F28" s="76"/>
      <c r="G28" s="346"/>
    </row>
  </sheetData>
  <mergeCells count="4">
    <mergeCell ref="B2:F2"/>
    <mergeCell ref="B3:F3"/>
    <mergeCell ref="B4:F4"/>
    <mergeCell ref="B5:F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050F-B3DB-45F3-93FB-BC5D56FDB95B}">
  <sheetPr>
    <pageSetUpPr fitToPage="1"/>
  </sheetPr>
  <dimension ref="A1:J29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79.54296875" style="7" customWidth="1"/>
    <col min="3" max="3" width="1.54296875" style="7" customWidth="1"/>
    <col min="4" max="4" width="16.81640625" style="7" customWidth="1"/>
    <col min="5" max="5" width="1.54296875" style="7" customWidth="1"/>
    <col min="6" max="6" width="45.81640625" style="7" bestFit="1" customWidth="1"/>
    <col min="7" max="7" width="5.1796875" style="106" customWidth="1"/>
    <col min="8" max="16384" width="8.81640625" style="7"/>
  </cols>
  <sheetData>
    <row r="1" spans="1:10">
      <c r="A1" s="914" t="s">
        <v>793</v>
      </c>
    </row>
    <row r="3" spans="1:10">
      <c r="A3" s="325"/>
      <c r="B3" s="1026" t="s">
        <v>21</v>
      </c>
      <c r="C3" s="1026"/>
      <c r="D3" s="1026"/>
      <c r="E3" s="1026"/>
      <c r="F3" s="1026"/>
      <c r="G3" s="325"/>
    </row>
    <row r="4" spans="1:10">
      <c r="A4" s="325"/>
      <c r="B4" s="1026" t="s">
        <v>134</v>
      </c>
      <c r="C4" s="1026"/>
      <c r="D4" s="1026"/>
      <c r="E4" s="1026"/>
      <c r="F4" s="1026"/>
      <c r="G4" s="325"/>
    </row>
    <row r="5" spans="1:10">
      <c r="A5" s="325"/>
      <c r="B5" s="1026" t="s">
        <v>535</v>
      </c>
      <c r="C5" s="1026"/>
      <c r="D5" s="1026"/>
      <c r="E5" s="1026"/>
      <c r="F5" s="1026"/>
      <c r="G5" s="325"/>
    </row>
    <row r="6" spans="1:10">
      <c r="A6" s="325"/>
      <c r="B6" s="1027">
        <v>-1000</v>
      </c>
      <c r="C6" s="1027"/>
      <c r="D6" s="1027"/>
      <c r="E6" s="1027"/>
      <c r="F6" s="1027"/>
      <c r="G6" s="325"/>
    </row>
    <row r="8" spans="1:10">
      <c r="A8" s="344" t="s">
        <v>2</v>
      </c>
      <c r="B8" s="75"/>
      <c r="C8" s="75"/>
      <c r="D8" s="56"/>
      <c r="E8" s="56"/>
      <c r="F8" s="56"/>
      <c r="G8" s="344" t="s">
        <v>2</v>
      </c>
    </row>
    <row r="9" spans="1:10" ht="18.5">
      <c r="A9" s="344" t="s">
        <v>3</v>
      </c>
      <c r="B9" s="558" t="s">
        <v>114</v>
      </c>
      <c r="C9" s="75"/>
      <c r="D9" s="558" t="s">
        <v>33</v>
      </c>
      <c r="E9" s="72"/>
      <c r="F9" s="558" t="s">
        <v>135</v>
      </c>
      <c r="G9" s="344" t="s">
        <v>3</v>
      </c>
    </row>
    <row r="10" spans="1:10">
      <c r="A10" s="344"/>
      <c r="B10" s="73"/>
      <c r="C10" s="75"/>
      <c r="D10" s="74"/>
      <c r="E10" s="75"/>
      <c r="F10" s="75"/>
      <c r="G10" s="344"/>
    </row>
    <row r="11" spans="1:10">
      <c r="A11" s="344">
        <v>1</v>
      </c>
      <c r="B11" s="76" t="s">
        <v>136</v>
      </c>
      <c r="C11" s="76"/>
      <c r="D11" s="409">
        <v>73.082047123374281</v>
      </c>
      <c r="E11" s="75"/>
      <c r="F11" s="72" t="s">
        <v>694</v>
      </c>
      <c r="G11" s="344">
        <f>A11</f>
        <v>1</v>
      </c>
    </row>
    <row r="12" spans="1:10">
      <c r="A12" s="344">
        <f>A11+1</f>
        <v>2</v>
      </c>
      <c r="B12" s="71"/>
      <c r="C12" s="76"/>
      <c r="D12" s="460"/>
      <c r="E12" s="77"/>
      <c r="F12" s="72"/>
      <c r="G12" s="344">
        <f>G11+1</f>
        <v>2</v>
      </c>
    </row>
    <row r="13" spans="1:10">
      <c r="A13" s="344">
        <f t="shared" ref="A13:A24" si="0">A12+1</f>
        <v>3</v>
      </c>
      <c r="B13" s="76" t="s">
        <v>137</v>
      </c>
      <c r="C13" s="76"/>
      <c r="D13" s="877">
        <f>'Pg6 As Filed Sec 2 Non-Dir Exp '!E42</f>
        <v>1555.8119872621462</v>
      </c>
      <c r="E13" s="671" t="s">
        <v>460</v>
      </c>
      <c r="F13" s="72" t="s">
        <v>695</v>
      </c>
      <c r="G13" s="344">
        <f t="shared" ref="G13:G24" si="1">G12+1</f>
        <v>3</v>
      </c>
    </row>
    <row r="14" spans="1:10">
      <c r="A14" s="344">
        <f t="shared" si="0"/>
        <v>4</v>
      </c>
      <c r="B14" s="71"/>
      <c r="C14" s="76"/>
      <c r="D14" s="460"/>
      <c r="E14" s="77"/>
      <c r="F14" s="72"/>
      <c r="G14" s="344">
        <f t="shared" si="1"/>
        <v>4</v>
      </c>
    </row>
    <row r="15" spans="1:10">
      <c r="A15" s="344">
        <f t="shared" si="0"/>
        <v>5</v>
      </c>
      <c r="B15" s="76" t="s">
        <v>138</v>
      </c>
      <c r="C15" s="76"/>
      <c r="D15" s="460"/>
      <c r="E15" s="77"/>
      <c r="F15" s="72"/>
      <c r="G15" s="344">
        <f t="shared" si="1"/>
        <v>5</v>
      </c>
    </row>
    <row r="16" spans="1:10">
      <c r="A16" s="344">
        <f t="shared" si="0"/>
        <v>6</v>
      </c>
      <c r="B16" s="71" t="s">
        <v>139</v>
      </c>
      <c r="C16" s="71"/>
      <c r="D16" s="484">
        <v>-161.41013305227202</v>
      </c>
      <c r="E16" s="75"/>
      <c r="F16" s="72" t="s">
        <v>696</v>
      </c>
      <c r="G16" s="344">
        <f t="shared" si="1"/>
        <v>6</v>
      </c>
      <c r="J16" s="482"/>
    </row>
    <row r="17" spans="1:7">
      <c r="A17" s="344">
        <f t="shared" si="0"/>
        <v>7</v>
      </c>
      <c r="B17" s="71" t="s">
        <v>140</v>
      </c>
      <c r="C17" s="71"/>
      <c r="D17" s="484">
        <v>622.27436836011827</v>
      </c>
      <c r="E17" s="75"/>
      <c r="F17" s="72" t="s">
        <v>697</v>
      </c>
      <c r="G17" s="344">
        <f t="shared" si="1"/>
        <v>7</v>
      </c>
    </row>
    <row r="18" spans="1:7">
      <c r="A18" s="344">
        <f t="shared" si="0"/>
        <v>8</v>
      </c>
      <c r="B18" s="71" t="s">
        <v>141</v>
      </c>
      <c r="C18" s="71"/>
      <c r="D18" s="484">
        <v>76.67795653445603</v>
      </c>
      <c r="E18" s="75"/>
      <c r="F18" s="72" t="s">
        <v>698</v>
      </c>
      <c r="G18" s="344">
        <f t="shared" si="1"/>
        <v>8</v>
      </c>
    </row>
    <row r="19" spans="1:7">
      <c r="A19" s="344">
        <f t="shared" si="0"/>
        <v>9</v>
      </c>
      <c r="B19" s="71" t="s">
        <v>142</v>
      </c>
      <c r="C19" s="71"/>
      <c r="D19" s="460"/>
      <c r="E19" s="77"/>
      <c r="F19" s="72"/>
      <c r="G19" s="344">
        <f t="shared" si="1"/>
        <v>9</v>
      </c>
    </row>
    <row r="20" spans="1:7">
      <c r="A20" s="344">
        <f t="shared" si="0"/>
        <v>10</v>
      </c>
      <c r="B20" s="71" t="s">
        <v>143</v>
      </c>
      <c r="C20" s="71"/>
      <c r="D20" s="559">
        <v>0</v>
      </c>
      <c r="E20" s="75"/>
      <c r="F20" s="72" t="s">
        <v>699</v>
      </c>
      <c r="G20" s="344">
        <f t="shared" si="1"/>
        <v>10</v>
      </c>
    </row>
    <row r="21" spans="1:7">
      <c r="A21" s="344">
        <f t="shared" si="0"/>
        <v>11</v>
      </c>
      <c r="B21" s="76"/>
      <c r="C21" s="76"/>
      <c r="D21" s="460"/>
      <c r="E21" s="75"/>
      <c r="F21" s="72"/>
      <c r="G21" s="344">
        <f t="shared" si="1"/>
        <v>11</v>
      </c>
    </row>
    <row r="22" spans="1:7" ht="16" thickBot="1">
      <c r="A22" s="344">
        <f t="shared" si="0"/>
        <v>12</v>
      </c>
      <c r="B22" s="76" t="s">
        <v>144</v>
      </c>
      <c r="C22" s="76"/>
      <c r="D22" s="539">
        <f>SUM(D11:D20)</f>
        <v>2166.4362262278228</v>
      </c>
      <c r="E22" s="671" t="s">
        <v>460</v>
      </c>
      <c r="F22" s="72" t="s">
        <v>536</v>
      </c>
      <c r="G22" s="344">
        <f t="shared" si="1"/>
        <v>12</v>
      </c>
    </row>
    <row r="23" spans="1:7" ht="16" thickTop="1">
      <c r="A23" s="344">
        <f t="shared" si="0"/>
        <v>13</v>
      </c>
      <c r="B23" s="71"/>
      <c r="C23" s="76"/>
      <c r="D23" s="461"/>
      <c r="E23" s="78"/>
      <c r="F23" s="72"/>
      <c r="G23" s="344">
        <f t="shared" si="1"/>
        <v>13</v>
      </c>
    </row>
    <row r="24" spans="1:7" ht="16" thickBot="1">
      <c r="A24" s="344">
        <f t="shared" si="0"/>
        <v>14</v>
      </c>
      <c r="B24" s="71" t="s">
        <v>145</v>
      </c>
      <c r="C24" s="76"/>
      <c r="D24" s="539">
        <f>D22/12</f>
        <v>180.53635218565191</v>
      </c>
      <c r="E24" s="671" t="s">
        <v>460</v>
      </c>
      <c r="F24" s="72" t="s">
        <v>537</v>
      </c>
      <c r="G24" s="344">
        <f t="shared" si="1"/>
        <v>14</v>
      </c>
    </row>
    <row r="25" spans="1:7" ht="16" thickTop="1">
      <c r="A25" s="344"/>
      <c r="B25" s="76"/>
      <c r="C25" s="76"/>
      <c r="D25" s="76"/>
      <c r="E25" s="76"/>
      <c r="F25" s="75"/>
      <c r="G25" s="344"/>
    </row>
    <row r="26" spans="1:7">
      <c r="A26" s="344"/>
      <c r="B26" s="76"/>
      <c r="C26" s="76"/>
      <c r="D26" s="76"/>
      <c r="E26" s="76"/>
      <c r="F26" s="75"/>
      <c r="G26" s="344"/>
    </row>
    <row r="27" spans="1:7">
      <c r="A27" s="671" t="s">
        <v>460</v>
      </c>
      <c r="B27" s="5" t="s">
        <v>687</v>
      </c>
      <c r="C27" s="76"/>
      <c r="D27" s="76"/>
      <c r="E27" s="76"/>
      <c r="F27" s="76"/>
      <c r="G27" s="344"/>
    </row>
    <row r="28" spans="1:7" ht="18">
      <c r="A28" s="345">
        <v>1</v>
      </c>
      <c r="B28" s="71" t="s">
        <v>538</v>
      </c>
      <c r="C28" s="71"/>
      <c r="D28" s="76"/>
      <c r="E28" s="76"/>
      <c r="F28" s="76"/>
      <c r="G28" s="346"/>
    </row>
    <row r="29" spans="1:7">
      <c r="A29" s="346"/>
      <c r="B29" s="56"/>
      <c r="C29" s="56"/>
      <c r="D29" s="76"/>
      <c r="E29" s="76"/>
      <c r="F29" s="76"/>
      <c r="G29" s="346"/>
    </row>
  </sheetData>
  <mergeCells count="4">
    <mergeCell ref="B3:F3"/>
    <mergeCell ref="B4:F4"/>
    <mergeCell ref="B5:F5"/>
    <mergeCell ref="B6:F6"/>
  </mergeCells>
  <printOptions horizontalCentered="1"/>
  <pageMargins left="0.5" right="0.5" top="0.5" bottom="0.5" header="0.35" footer="0.25"/>
  <pageSetup scale="61" orientation="portrait" r:id="rId1"/>
  <headerFooter scaleWithDoc="0" alignWithMargins="0">
    <oddHeader>&amp;C&amp;"Times New Roman,Bold"&amp;7AS FILED SEC 4B-TU WITH FERC AUDIT ADJ INCL IN APPENDIX X CYCLE 12 (ER24-176)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51CD-2A8E-46EC-B74E-D2075FB012AD}">
  <sheetPr>
    <pageSetUpPr fitToPage="1"/>
  </sheetPr>
  <dimension ref="A1:K73"/>
  <sheetViews>
    <sheetView zoomScale="80" zoomScaleNormal="80" workbookViewId="0"/>
  </sheetViews>
  <sheetFormatPr defaultColWidth="8.81640625" defaultRowHeight="15.5"/>
  <cols>
    <col min="1" max="1" width="5.1796875" style="132" bestFit="1" customWidth="1"/>
    <col min="2" max="2" width="23.81640625" style="132" hidden="1" customWidth="1"/>
    <col min="3" max="3" width="80.54296875" style="128" customWidth="1"/>
    <col min="4" max="4" width="21.1796875" style="128" customWidth="1"/>
    <col min="5" max="5" width="1.54296875" style="128" customWidth="1"/>
    <col min="6" max="6" width="16.81640625" style="128" customWidth="1"/>
    <col min="7" max="7" width="1.54296875" style="128" customWidth="1"/>
    <col min="8" max="8" width="46.36328125" style="128" customWidth="1"/>
    <col min="9" max="9" width="5.1796875" style="128" customWidth="1"/>
    <col min="10" max="10" width="8.81640625" style="128"/>
    <col min="11" max="11" width="20.453125" style="128" bestFit="1" customWidth="1"/>
    <col min="12" max="16384" width="8.81640625" style="128"/>
  </cols>
  <sheetData>
    <row r="1" spans="1:9">
      <c r="H1" s="132"/>
      <c r="I1" s="132"/>
    </row>
    <row r="2" spans="1:9">
      <c r="C2" s="1028" t="s">
        <v>0</v>
      </c>
      <c r="D2" s="1028"/>
      <c r="E2" s="1028"/>
      <c r="F2" s="1028"/>
      <c r="G2" s="1028"/>
      <c r="H2" s="1028"/>
      <c r="I2" s="132"/>
    </row>
    <row r="3" spans="1:9">
      <c r="C3" s="1028" t="s">
        <v>160</v>
      </c>
      <c r="D3" s="1028"/>
      <c r="E3" s="1028"/>
      <c r="F3" s="1028"/>
      <c r="G3" s="1028"/>
      <c r="H3" s="1028"/>
      <c r="I3" s="132"/>
    </row>
    <row r="4" spans="1:9">
      <c r="C4" s="1028" t="s">
        <v>161</v>
      </c>
      <c r="D4" s="1028"/>
      <c r="E4" s="1028"/>
      <c r="F4" s="1028"/>
      <c r="G4" s="1028"/>
      <c r="H4" s="1028"/>
      <c r="I4" s="132"/>
    </row>
    <row r="5" spans="1:9">
      <c r="C5" s="1029" t="s">
        <v>480</v>
      </c>
      <c r="D5" s="1029"/>
      <c r="E5" s="1029"/>
      <c r="F5" s="1029"/>
      <c r="G5" s="1029"/>
      <c r="H5" s="1029"/>
      <c r="I5" s="132"/>
    </row>
    <row r="6" spans="1:9">
      <c r="C6" s="1030" t="s">
        <v>1</v>
      </c>
      <c r="D6" s="1031"/>
      <c r="E6" s="1031"/>
      <c r="F6" s="1031"/>
      <c r="G6" s="1031"/>
      <c r="H6" s="1031"/>
      <c r="I6" s="132"/>
    </row>
    <row r="7" spans="1:9">
      <c r="C7" s="132"/>
      <c r="D7" s="132"/>
      <c r="E7" s="132"/>
      <c r="F7" s="219"/>
      <c r="G7" s="219"/>
      <c r="H7" s="132"/>
      <c r="I7" s="132"/>
    </row>
    <row r="8" spans="1:9">
      <c r="A8" s="132" t="s">
        <v>2</v>
      </c>
      <c r="C8" s="505"/>
      <c r="D8" s="132" t="s">
        <v>147</v>
      </c>
      <c r="E8" s="505"/>
      <c r="F8" s="220"/>
      <c r="G8" s="220"/>
      <c r="H8" s="132"/>
      <c r="I8" s="132" t="s">
        <v>2</v>
      </c>
    </row>
    <row r="9" spans="1:9">
      <c r="A9" s="132" t="s">
        <v>3</v>
      </c>
      <c r="B9" s="561" t="s">
        <v>158</v>
      </c>
      <c r="D9" s="561" t="s">
        <v>148</v>
      </c>
      <c r="E9" s="505"/>
      <c r="F9" s="567" t="s">
        <v>33</v>
      </c>
      <c r="G9" s="220"/>
      <c r="H9" s="561" t="s">
        <v>5</v>
      </c>
      <c r="I9" s="132" t="s">
        <v>3</v>
      </c>
    </row>
    <row r="10" spans="1:9">
      <c r="D10" s="505"/>
      <c r="E10" s="505"/>
      <c r="F10" s="220"/>
      <c r="G10" s="220"/>
      <c r="H10" s="132"/>
      <c r="I10" s="132"/>
    </row>
    <row r="11" spans="1:9">
      <c r="A11" s="132">
        <v>1</v>
      </c>
      <c r="C11" s="10" t="s">
        <v>162</v>
      </c>
      <c r="D11" s="505"/>
      <c r="E11" s="505"/>
      <c r="F11" s="220"/>
      <c r="G11" s="220"/>
      <c r="H11" s="132"/>
      <c r="I11" s="132">
        <f>A11</f>
        <v>1</v>
      </c>
    </row>
    <row r="12" spans="1:9">
      <c r="A12" s="132">
        <f>+A11+1</f>
        <v>2</v>
      </c>
      <c r="B12" s="216" t="s">
        <v>163</v>
      </c>
      <c r="C12" s="83" t="s">
        <v>164</v>
      </c>
      <c r="D12" s="505"/>
      <c r="E12" s="505"/>
      <c r="F12" s="217">
        <v>142.95551000000003</v>
      </c>
      <c r="G12" s="220"/>
      <c r="H12" s="132" t="s">
        <v>541</v>
      </c>
      <c r="I12" s="132">
        <f>I11+1</f>
        <v>2</v>
      </c>
    </row>
    <row r="13" spans="1:9">
      <c r="A13" s="132">
        <f t="shared" ref="A13:A68" si="0">+A12+1</f>
        <v>3</v>
      </c>
      <c r="D13" s="505"/>
      <c r="E13" s="505"/>
      <c r="F13" s="220"/>
      <c r="G13" s="220"/>
      <c r="H13" s="132"/>
      <c r="I13" s="132">
        <f t="shared" ref="I13:I68" si="1">I12+1</f>
        <v>3</v>
      </c>
    </row>
    <row r="14" spans="1:9">
      <c r="A14" s="132">
        <f t="shared" si="0"/>
        <v>4</v>
      </c>
      <c r="C14" s="10" t="s">
        <v>165</v>
      </c>
      <c r="H14" s="132"/>
      <c r="I14" s="132">
        <f t="shared" si="1"/>
        <v>4</v>
      </c>
    </row>
    <row r="15" spans="1:9">
      <c r="A15" s="132">
        <f t="shared" si="0"/>
        <v>5</v>
      </c>
      <c r="C15" s="1" t="s">
        <v>166</v>
      </c>
      <c r="D15" s="132"/>
      <c r="F15" s="217">
        <v>87862.165610000011</v>
      </c>
      <c r="H15" s="132" t="s">
        <v>542</v>
      </c>
      <c r="I15" s="132">
        <f t="shared" si="1"/>
        <v>5</v>
      </c>
    </row>
    <row r="16" spans="1:9">
      <c r="A16" s="132">
        <f t="shared" si="0"/>
        <v>6</v>
      </c>
      <c r="C16" s="1" t="s">
        <v>167</v>
      </c>
      <c r="F16" s="202"/>
      <c r="H16" s="132"/>
      <c r="I16" s="132">
        <f t="shared" si="1"/>
        <v>6</v>
      </c>
    </row>
    <row r="17" spans="1:11">
      <c r="A17" s="132">
        <f t="shared" si="0"/>
        <v>7</v>
      </c>
      <c r="C17" s="1" t="s">
        <v>434</v>
      </c>
      <c r="D17" s="206"/>
      <c r="F17" s="182">
        <v>-6098.2667300000003</v>
      </c>
      <c r="H17" s="132" t="s">
        <v>543</v>
      </c>
      <c r="I17" s="132">
        <f t="shared" si="1"/>
        <v>7</v>
      </c>
    </row>
    <row r="18" spans="1:11">
      <c r="A18" s="132">
        <f t="shared" si="0"/>
        <v>8</v>
      </c>
      <c r="C18" s="1" t="s">
        <v>435</v>
      </c>
      <c r="F18" s="182">
        <v>-2804.3944900000001</v>
      </c>
      <c r="H18" s="132" t="s">
        <v>544</v>
      </c>
      <c r="I18" s="132">
        <f t="shared" si="1"/>
        <v>8</v>
      </c>
    </row>
    <row r="19" spans="1:11">
      <c r="A19" s="132">
        <f t="shared" si="0"/>
        <v>9</v>
      </c>
      <c r="C19" s="83" t="s">
        <v>692</v>
      </c>
      <c r="F19" s="182">
        <v>-7321.03485</v>
      </c>
      <c r="H19" s="132" t="s">
        <v>545</v>
      </c>
      <c r="I19" s="132">
        <f t="shared" si="1"/>
        <v>9</v>
      </c>
    </row>
    <row r="20" spans="1:11">
      <c r="A20" s="132">
        <f t="shared" si="0"/>
        <v>10</v>
      </c>
      <c r="C20" s="1" t="s">
        <v>436</v>
      </c>
      <c r="F20" s="182">
        <v>0</v>
      </c>
      <c r="H20" s="132" t="s">
        <v>546</v>
      </c>
      <c r="I20" s="132">
        <f t="shared" si="1"/>
        <v>10</v>
      </c>
    </row>
    <row r="21" spans="1:11">
      <c r="A21" s="132">
        <f t="shared" si="0"/>
        <v>11</v>
      </c>
      <c r="C21" s="1" t="s">
        <v>437</v>
      </c>
      <c r="F21" s="182">
        <v>-6065.7316999999994</v>
      </c>
      <c r="H21" s="132" t="s">
        <v>547</v>
      </c>
      <c r="I21" s="132">
        <f t="shared" si="1"/>
        <v>11</v>
      </c>
    </row>
    <row r="22" spans="1:11">
      <c r="A22" s="132">
        <f t="shared" si="0"/>
        <v>12</v>
      </c>
      <c r="C22" s="83" t="s">
        <v>438</v>
      </c>
      <c r="F22" s="182">
        <v>-12091.902990000001</v>
      </c>
      <c r="H22" s="132" t="s">
        <v>548</v>
      </c>
      <c r="I22" s="132">
        <f t="shared" si="1"/>
        <v>12</v>
      </c>
    </row>
    <row r="23" spans="1:11">
      <c r="A23" s="132">
        <f t="shared" si="0"/>
        <v>13</v>
      </c>
      <c r="C23" s="83" t="s">
        <v>439</v>
      </c>
      <c r="F23" s="182">
        <v>-16365.16099</v>
      </c>
      <c r="H23" s="132" t="s">
        <v>549</v>
      </c>
      <c r="I23" s="132">
        <f t="shared" si="1"/>
        <v>13</v>
      </c>
    </row>
    <row r="24" spans="1:11">
      <c r="A24" s="132">
        <f t="shared" si="0"/>
        <v>14</v>
      </c>
      <c r="C24" s="83" t="s">
        <v>691</v>
      </c>
      <c r="F24" s="182">
        <v>-597.84213</v>
      </c>
      <c r="H24" s="132" t="s">
        <v>550</v>
      </c>
      <c r="I24" s="132">
        <f t="shared" si="1"/>
        <v>14</v>
      </c>
    </row>
    <row r="25" spans="1:11">
      <c r="A25" s="132">
        <f t="shared" si="0"/>
        <v>15</v>
      </c>
      <c r="C25" s="1" t="s">
        <v>168</v>
      </c>
      <c r="F25" s="774">
        <v>0</v>
      </c>
      <c r="H25" s="132" t="s">
        <v>440</v>
      </c>
      <c r="I25" s="132">
        <f t="shared" si="1"/>
        <v>15</v>
      </c>
    </row>
    <row r="26" spans="1:11">
      <c r="A26" s="132">
        <f t="shared" si="0"/>
        <v>16</v>
      </c>
      <c r="C26" s="1" t="s">
        <v>767</v>
      </c>
      <c r="F26" s="774">
        <v>-1483.653</v>
      </c>
      <c r="G26" s="671"/>
      <c r="H26" s="132" t="s">
        <v>719</v>
      </c>
      <c r="I26" s="132">
        <f t="shared" si="1"/>
        <v>16</v>
      </c>
    </row>
    <row r="27" spans="1:11" ht="16" thickBot="1">
      <c r="A27" s="132">
        <f t="shared" si="0"/>
        <v>17</v>
      </c>
      <c r="C27" s="1" t="s">
        <v>169</v>
      </c>
      <c r="F27" s="983">
        <f>SUM(F15:F26)</f>
        <v>35034.17873</v>
      </c>
      <c r="G27" s="671"/>
      <c r="H27" s="222" t="s">
        <v>557</v>
      </c>
      <c r="I27" s="132">
        <f t="shared" si="1"/>
        <v>17</v>
      </c>
    </row>
    <row r="28" spans="1:11" ht="16" thickTop="1">
      <c r="A28" s="132">
        <f t="shared" si="0"/>
        <v>18</v>
      </c>
      <c r="F28" s="123"/>
      <c r="I28" s="132">
        <f t="shared" si="1"/>
        <v>18</v>
      </c>
    </row>
    <row r="29" spans="1:11">
      <c r="A29" s="132">
        <f t="shared" si="0"/>
        <v>19</v>
      </c>
      <c r="C29" s="11" t="s">
        <v>170</v>
      </c>
      <c r="F29" s="223"/>
      <c r="H29" s="132"/>
      <c r="I29" s="132">
        <f t="shared" si="1"/>
        <v>19</v>
      </c>
    </row>
    <row r="30" spans="1:11">
      <c r="A30" s="132">
        <f t="shared" si="0"/>
        <v>20</v>
      </c>
      <c r="C30" s="3" t="s">
        <v>171</v>
      </c>
      <c r="D30" s="132"/>
      <c r="F30" s="217">
        <v>426216.35858000006</v>
      </c>
      <c r="H30" s="132" t="s">
        <v>551</v>
      </c>
      <c r="I30" s="132">
        <f t="shared" si="1"/>
        <v>20</v>
      </c>
    </row>
    <row r="31" spans="1:11">
      <c r="A31" s="132">
        <f t="shared" si="0"/>
        <v>21</v>
      </c>
      <c r="C31" s="3" t="s">
        <v>172</v>
      </c>
      <c r="F31" s="223" t="s">
        <v>6</v>
      </c>
      <c r="H31" s="132"/>
      <c r="I31" s="132">
        <f t="shared" si="1"/>
        <v>21</v>
      </c>
    </row>
    <row r="32" spans="1:11">
      <c r="A32" s="132">
        <f t="shared" si="0"/>
        <v>22</v>
      </c>
      <c r="C32" s="8" t="s">
        <v>418</v>
      </c>
      <c r="F32" s="182">
        <v>0</v>
      </c>
      <c r="H32" s="132" t="s">
        <v>427</v>
      </c>
      <c r="I32" s="132">
        <f t="shared" si="1"/>
        <v>22</v>
      </c>
      <c r="J32" s="224"/>
      <c r="K32" s="225"/>
    </row>
    <row r="33" spans="1:11" ht="15.65" customHeight="1">
      <c r="A33" s="132">
        <f t="shared" si="0"/>
        <v>23</v>
      </c>
      <c r="C33" s="9" t="s">
        <v>419</v>
      </c>
      <c r="F33" s="182">
        <v>0</v>
      </c>
      <c r="H33" s="132" t="s">
        <v>428</v>
      </c>
      <c r="I33" s="132">
        <f t="shared" si="1"/>
        <v>23</v>
      </c>
      <c r="J33" s="224"/>
      <c r="K33" s="226"/>
    </row>
    <row r="34" spans="1:11">
      <c r="A34" s="132">
        <f t="shared" si="0"/>
        <v>24</v>
      </c>
      <c r="C34" s="8" t="s">
        <v>693</v>
      </c>
      <c r="F34" s="182">
        <v>-590.93499999999995</v>
      </c>
      <c r="H34" s="132" t="s">
        <v>429</v>
      </c>
      <c r="I34" s="132">
        <f t="shared" si="1"/>
        <v>24</v>
      </c>
    </row>
    <row r="35" spans="1:11">
      <c r="A35" s="132">
        <f t="shared" si="0"/>
        <v>25</v>
      </c>
      <c r="C35" s="8" t="s">
        <v>420</v>
      </c>
      <c r="F35" s="182">
        <v>-8069.99107</v>
      </c>
      <c r="H35" s="132" t="s">
        <v>425</v>
      </c>
      <c r="I35" s="132">
        <f t="shared" si="1"/>
        <v>25</v>
      </c>
      <c r="K35" s="225"/>
    </row>
    <row r="36" spans="1:11">
      <c r="A36" s="132">
        <f t="shared" si="0"/>
        <v>26</v>
      </c>
      <c r="C36" s="8" t="s">
        <v>421</v>
      </c>
      <c r="F36" s="182">
        <v>-62.146000000000001</v>
      </c>
      <c r="H36" s="132" t="s">
        <v>426</v>
      </c>
      <c r="I36" s="132">
        <f t="shared" si="1"/>
        <v>26</v>
      </c>
      <c r="J36" s="224"/>
    </row>
    <row r="37" spans="1:11">
      <c r="A37" s="132">
        <f t="shared" si="0"/>
        <v>27</v>
      </c>
      <c r="C37" s="8" t="s">
        <v>422</v>
      </c>
      <c r="F37" s="182">
        <v>-192.75449</v>
      </c>
      <c r="H37" s="132" t="s">
        <v>783</v>
      </c>
      <c r="I37" s="132">
        <f t="shared" si="1"/>
        <v>27</v>
      </c>
      <c r="J37" s="224"/>
      <c r="K37" s="225"/>
    </row>
    <row r="38" spans="1:11" ht="31">
      <c r="A38" s="132">
        <f t="shared" si="0"/>
        <v>28</v>
      </c>
      <c r="C38" s="8" t="s">
        <v>423</v>
      </c>
      <c r="F38" s="182">
        <v>-260.3999</v>
      </c>
      <c r="H38" s="227" t="s">
        <v>792</v>
      </c>
      <c r="I38" s="132">
        <f t="shared" si="1"/>
        <v>28</v>
      </c>
    </row>
    <row r="39" spans="1:11">
      <c r="A39" s="132">
        <f t="shared" si="0"/>
        <v>29</v>
      </c>
      <c r="C39" s="8" t="s">
        <v>558</v>
      </c>
      <c r="F39" s="182">
        <v>-70.022660000000002</v>
      </c>
      <c r="H39" s="132" t="s">
        <v>784</v>
      </c>
      <c r="I39" s="132">
        <f t="shared" si="1"/>
        <v>29</v>
      </c>
    </row>
    <row r="40" spans="1:11">
      <c r="A40" s="132">
        <f t="shared" si="0"/>
        <v>30</v>
      </c>
      <c r="C40" s="8" t="s">
        <v>424</v>
      </c>
      <c r="F40" s="182">
        <v>-120323.24240999999</v>
      </c>
      <c r="H40" s="132" t="s">
        <v>785</v>
      </c>
      <c r="I40" s="132">
        <f t="shared" si="1"/>
        <v>30</v>
      </c>
    </row>
    <row r="41" spans="1:11">
      <c r="A41" s="132">
        <f t="shared" si="0"/>
        <v>31</v>
      </c>
      <c r="C41" s="1" t="s">
        <v>767</v>
      </c>
      <c r="F41" s="182">
        <f>'Pg9.3 As Filed AH-3 FERC Adj'!H31</f>
        <v>-1534.3720000000001</v>
      </c>
      <c r="H41" s="132" t="s">
        <v>794</v>
      </c>
      <c r="I41" s="132">
        <f t="shared" si="1"/>
        <v>31</v>
      </c>
    </row>
    <row r="42" spans="1:11">
      <c r="A42" s="132">
        <f t="shared" si="0"/>
        <v>32</v>
      </c>
      <c r="C42" s="5" t="s">
        <v>757</v>
      </c>
      <c r="F42" s="800">
        <f>-'Pg9.2 Rev AH-3'!K30</f>
        <v>458.73322999999999</v>
      </c>
      <c r="G42" s="671" t="s">
        <v>460</v>
      </c>
      <c r="H42" s="227" t="s">
        <v>795</v>
      </c>
      <c r="I42" s="132">
        <f t="shared" si="1"/>
        <v>32</v>
      </c>
      <c r="K42" s="969"/>
    </row>
    <row r="43" spans="1:11">
      <c r="A43" s="132">
        <f t="shared" si="0"/>
        <v>33</v>
      </c>
      <c r="C43" s="3" t="s">
        <v>174</v>
      </c>
      <c r="F43" s="801">
        <f>SUM(F30:F42)</f>
        <v>295571.22828000004</v>
      </c>
      <c r="G43" s="671" t="s">
        <v>460</v>
      </c>
      <c r="H43" s="132" t="s">
        <v>758</v>
      </c>
      <c r="I43" s="132">
        <f t="shared" si="1"/>
        <v>33</v>
      </c>
      <c r="K43" s="969"/>
    </row>
    <row r="44" spans="1:11">
      <c r="A44" s="132">
        <f t="shared" si="0"/>
        <v>34</v>
      </c>
      <c r="C44" s="3" t="s">
        <v>175</v>
      </c>
      <c r="F44" s="570">
        <v>-5391.9716699999999</v>
      </c>
      <c r="H44" s="132" t="s">
        <v>552</v>
      </c>
      <c r="I44" s="132">
        <f t="shared" si="1"/>
        <v>34</v>
      </c>
      <c r="K44" s="969"/>
    </row>
    <row r="45" spans="1:11">
      <c r="A45" s="132">
        <f t="shared" si="0"/>
        <v>35</v>
      </c>
      <c r="C45" s="3" t="s">
        <v>176</v>
      </c>
      <c r="F45" s="801">
        <f>SUM(F43:F44)</f>
        <v>290179.25661000004</v>
      </c>
      <c r="G45" s="671" t="s">
        <v>460</v>
      </c>
      <c r="H45" s="132" t="s">
        <v>759</v>
      </c>
      <c r="I45" s="132">
        <f t="shared" si="1"/>
        <v>35</v>
      </c>
    </row>
    <row r="46" spans="1:11">
      <c r="A46" s="132">
        <f t="shared" si="0"/>
        <v>36</v>
      </c>
      <c r="C46" s="1" t="s">
        <v>150</v>
      </c>
      <c r="F46" s="571">
        <v>0.10301302624215687</v>
      </c>
      <c r="H46" s="222" t="s">
        <v>503</v>
      </c>
      <c r="I46" s="132">
        <f t="shared" si="1"/>
        <v>36</v>
      </c>
    </row>
    <row r="47" spans="1:11">
      <c r="A47" s="132">
        <f t="shared" si="0"/>
        <v>37</v>
      </c>
      <c r="C47" s="3" t="s">
        <v>177</v>
      </c>
      <c r="F47" s="802">
        <f>F45*F46</f>
        <v>29892.243376095506</v>
      </c>
      <c r="G47" s="671" t="s">
        <v>460</v>
      </c>
      <c r="H47" s="132" t="s">
        <v>760</v>
      </c>
      <c r="I47" s="132">
        <f t="shared" si="1"/>
        <v>37</v>
      </c>
    </row>
    <row r="48" spans="1:11">
      <c r="A48" s="132">
        <f t="shared" si="0"/>
        <v>38</v>
      </c>
      <c r="C48" s="128" t="s">
        <v>178</v>
      </c>
      <c r="F48" s="1007">
        <f>F68*(-F44)</f>
        <v>2101.4006671145225</v>
      </c>
      <c r="G48" s="671"/>
      <c r="H48" s="132" t="s">
        <v>761</v>
      </c>
      <c r="I48" s="132">
        <f t="shared" si="1"/>
        <v>38</v>
      </c>
    </row>
    <row r="49" spans="1:11" ht="16" thickBot="1">
      <c r="A49" s="132">
        <f t="shared" si="0"/>
        <v>39</v>
      </c>
      <c r="C49" s="216" t="s">
        <v>179</v>
      </c>
      <c r="F49" s="804">
        <f>F48+F47</f>
        <v>31993.644043210028</v>
      </c>
      <c r="G49" s="671" t="s">
        <v>460</v>
      </c>
      <c r="H49" s="132" t="s">
        <v>762</v>
      </c>
      <c r="I49" s="132">
        <f t="shared" si="1"/>
        <v>39</v>
      </c>
      <c r="J49" s="216"/>
      <c r="K49" s="226"/>
    </row>
    <row r="50" spans="1:11" ht="16" thickTop="1">
      <c r="A50" s="132">
        <f t="shared" si="0"/>
        <v>40</v>
      </c>
      <c r="C50" s="228"/>
      <c r="F50" s="229"/>
      <c r="H50" s="132"/>
      <c r="I50" s="132">
        <f t="shared" si="1"/>
        <v>40</v>
      </c>
    </row>
    <row r="51" spans="1:11">
      <c r="A51" s="132">
        <f t="shared" si="0"/>
        <v>41</v>
      </c>
      <c r="C51" s="4" t="s">
        <v>180</v>
      </c>
      <c r="F51" s="230"/>
      <c r="H51" s="132"/>
      <c r="I51" s="132">
        <f t="shared" si="1"/>
        <v>41</v>
      </c>
    </row>
    <row r="52" spans="1:11">
      <c r="A52" s="132">
        <f t="shared" si="0"/>
        <v>42</v>
      </c>
      <c r="C52" s="3" t="s">
        <v>181</v>
      </c>
      <c r="F52" s="970">
        <v>5249985.7493453845</v>
      </c>
      <c r="G52" s="671"/>
      <c r="H52" s="132" t="s">
        <v>721</v>
      </c>
      <c r="I52" s="132">
        <f t="shared" si="1"/>
        <v>42</v>
      </c>
    </row>
    <row r="53" spans="1:11">
      <c r="A53" s="132">
        <f t="shared" si="0"/>
        <v>43</v>
      </c>
      <c r="C53" s="3" t="s">
        <v>152</v>
      </c>
      <c r="F53" s="971">
        <v>0</v>
      </c>
      <c r="H53" s="132" t="s">
        <v>159</v>
      </c>
      <c r="I53" s="132">
        <f t="shared" si="1"/>
        <v>43</v>
      </c>
    </row>
    <row r="54" spans="1:11">
      <c r="A54" s="132">
        <f t="shared" si="0"/>
        <v>44</v>
      </c>
      <c r="C54" s="3" t="s">
        <v>153</v>
      </c>
      <c r="F54" s="972">
        <v>37219.570635083968</v>
      </c>
      <c r="G54" s="671"/>
      <c r="H54" s="231" t="s">
        <v>722</v>
      </c>
      <c r="I54" s="132">
        <f t="shared" si="1"/>
        <v>44</v>
      </c>
    </row>
    <row r="55" spans="1:11">
      <c r="A55" s="132">
        <f t="shared" si="0"/>
        <v>45</v>
      </c>
      <c r="C55" s="3" t="s">
        <v>154</v>
      </c>
      <c r="F55" s="973">
        <v>81579.657641467376</v>
      </c>
      <c r="G55" s="671"/>
      <c r="H55" s="231" t="s">
        <v>723</v>
      </c>
      <c r="I55" s="132">
        <f t="shared" si="1"/>
        <v>45</v>
      </c>
    </row>
    <row r="56" spans="1:11" ht="16" thickBot="1">
      <c r="A56" s="132">
        <f t="shared" si="0"/>
        <v>46</v>
      </c>
      <c r="C56" s="3" t="s">
        <v>182</v>
      </c>
      <c r="F56" s="974">
        <f>SUM(F52:F55)</f>
        <v>5368784.9776219362</v>
      </c>
      <c r="G56" s="671"/>
      <c r="H56" s="132" t="s">
        <v>763</v>
      </c>
      <c r="I56" s="132">
        <f t="shared" si="1"/>
        <v>46</v>
      </c>
      <c r="J56" s="117"/>
    </row>
    <row r="57" spans="1:11" ht="16" thickTop="1">
      <c r="A57" s="132">
        <f t="shared" si="0"/>
        <v>47</v>
      </c>
      <c r="C57" s="228"/>
      <c r="F57" s="123"/>
      <c r="H57" s="132"/>
      <c r="I57" s="132">
        <f t="shared" si="1"/>
        <v>47</v>
      </c>
    </row>
    <row r="58" spans="1:11">
      <c r="A58" s="132">
        <f t="shared" si="0"/>
        <v>48</v>
      </c>
      <c r="C58" s="3" t="s">
        <v>151</v>
      </c>
      <c r="F58" s="232">
        <f>F52</f>
        <v>5249985.7493453845</v>
      </c>
      <c r="G58" s="671"/>
      <c r="H58" s="189" t="s">
        <v>764</v>
      </c>
      <c r="I58" s="132">
        <f t="shared" si="1"/>
        <v>48</v>
      </c>
    </row>
    <row r="59" spans="1:11">
      <c r="A59" s="132">
        <f t="shared" si="0"/>
        <v>49</v>
      </c>
      <c r="C59" s="3" t="s">
        <v>183</v>
      </c>
      <c r="F59" s="975">
        <v>567644.06525538466</v>
      </c>
      <c r="G59" s="671"/>
      <c r="H59" s="231" t="s">
        <v>724</v>
      </c>
      <c r="I59" s="132">
        <f t="shared" si="1"/>
        <v>49</v>
      </c>
    </row>
    <row r="60" spans="1:11">
      <c r="A60" s="132">
        <f t="shared" si="0"/>
        <v>50</v>
      </c>
      <c r="C60" s="3" t="s">
        <v>184</v>
      </c>
      <c r="F60" s="971">
        <v>0</v>
      </c>
      <c r="H60" s="132" t="s">
        <v>159</v>
      </c>
      <c r="I60" s="132">
        <f t="shared" si="1"/>
        <v>50</v>
      </c>
    </row>
    <row r="61" spans="1:11">
      <c r="A61" s="132">
        <f t="shared" si="0"/>
        <v>51</v>
      </c>
      <c r="C61" s="3" t="s">
        <v>185</v>
      </c>
      <c r="F61" s="975">
        <v>510344.37089307694</v>
      </c>
      <c r="G61" s="671"/>
      <c r="H61" s="231" t="s">
        <v>725</v>
      </c>
      <c r="I61" s="132">
        <f t="shared" si="1"/>
        <v>51</v>
      </c>
    </row>
    <row r="62" spans="1:11">
      <c r="A62" s="132">
        <f t="shared" si="0"/>
        <v>52</v>
      </c>
      <c r="C62" s="3" t="s">
        <v>186</v>
      </c>
      <c r="F62" s="975">
        <v>6294515.042524999</v>
      </c>
      <c r="G62" s="671"/>
      <c r="H62" s="231" t="s">
        <v>726</v>
      </c>
      <c r="I62" s="132">
        <f t="shared" si="1"/>
        <v>52</v>
      </c>
    </row>
    <row r="63" spans="1:11">
      <c r="A63" s="132">
        <f t="shared" si="0"/>
        <v>53</v>
      </c>
      <c r="C63" s="216" t="s">
        <v>152</v>
      </c>
      <c r="F63" s="971">
        <v>0</v>
      </c>
      <c r="H63" s="132" t="s">
        <v>159</v>
      </c>
      <c r="I63" s="132">
        <f t="shared" si="1"/>
        <v>53</v>
      </c>
    </row>
    <row r="64" spans="1:11">
      <c r="A64" s="132">
        <f t="shared" si="0"/>
        <v>54</v>
      </c>
      <c r="C64" s="3" t="s">
        <v>187</v>
      </c>
      <c r="F64" s="975">
        <v>361309.36050350004</v>
      </c>
      <c r="G64" s="671"/>
      <c r="H64" s="231" t="s">
        <v>713</v>
      </c>
      <c r="I64" s="132">
        <f t="shared" si="1"/>
        <v>54</v>
      </c>
    </row>
    <row r="65" spans="1:10">
      <c r="A65" s="132">
        <f t="shared" si="0"/>
        <v>55</v>
      </c>
      <c r="C65" s="3" t="s">
        <v>188</v>
      </c>
      <c r="F65" s="976">
        <v>791935.35630818945</v>
      </c>
      <c r="G65" s="671"/>
      <c r="H65" s="231" t="s">
        <v>712</v>
      </c>
      <c r="I65" s="132">
        <f t="shared" si="1"/>
        <v>55</v>
      </c>
    </row>
    <row r="66" spans="1:10" ht="16" thickBot="1">
      <c r="A66" s="132">
        <f t="shared" si="0"/>
        <v>56</v>
      </c>
      <c r="C66" s="3" t="s">
        <v>189</v>
      </c>
      <c r="F66" s="977">
        <f>SUM(F58:F65)</f>
        <v>13775733.944830537</v>
      </c>
      <c r="G66" s="671"/>
      <c r="H66" s="132" t="s">
        <v>765</v>
      </c>
      <c r="I66" s="132">
        <f t="shared" si="1"/>
        <v>56</v>
      </c>
      <c r="J66" s="117"/>
    </row>
    <row r="67" spans="1:10" ht="16" thickTop="1">
      <c r="A67" s="132">
        <f t="shared" si="0"/>
        <v>57</v>
      </c>
      <c r="F67" s="210"/>
      <c r="H67" s="132"/>
      <c r="I67" s="132">
        <f t="shared" si="1"/>
        <v>57</v>
      </c>
    </row>
    <row r="68" spans="1:10" ht="19" thickBot="1">
      <c r="A68" s="132">
        <f t="shared" si="0"/>
        <v>58</v>
      </c>
      <c r="C68" s="3" t="s">
        <v>190</v>
      </c>
      <c r="F68" s="978">
        <f>F56/F66</f>
        <v>0.38972769067136487</v>
      </c>
      <c r="G68" s="671"/>
      <c r="H68" s="132" t="s">
        <v>766</v>
      </c>
      <c r="I68" s="132">
        <f t="shared" si="1"/>
        <v>58</v>
      </c>
      <c r="J68" s="117"/>
    </row>
    <row r="69" spans="1:10" ht="16" thickTop="1">
      <c r="C69" s="216" t="s">
        <v>6</v>
      </c>
      <c r="F69" s="233"/>
      <c r="H69" s="132"/>
      <c r="I69" s="132"/>
    </row>
    <row r="70" spans="1:10">
      <c r="C70" s="216"/>
      <c r="F70" s="233"/>
      <c r="H70" s="132"/>
      <c r="I70" s="132"/>
    </row>
    <row r="71" spans="1:10">
      <c r="A71" s="671" t="s">
        <v>460</v>
      </c>
      <c r="C71" s="5" t="str">
        <f>'Pg2 App X C7 Comparison'!B63</f>
        <v>Items in BOLD have changed to correct the over-allocation of "Duplicate Charges (Company Energy Use)" Credit in FERC Account no. 929.</v>
      </c>
      <c r="F71" s="233"/>
      <c r="G71" s="233"/>
      <c r="H71" s="132"/>
      <c r="I71" s="132"/>
    </row>
    <row r="72" spans="1:10" ht="18">
      <c r="A72" s="234">
        <v>1</v>
      </c>
      <c r="B72" s="234"/>
      <c r="C72" s="3" t="s">
        <v>554</v>
      </c>
      <c r="I72" s="132"/>
    </row>
    <row r="73" spans="1:10">
      <c r="C73" s="216"/>
      <c r="F73" s="210"/>
      <c r="G73" s="210"/>
      <c r="H73" s="132"/>
      <c r="I73" s="132"/>
    </row>
  </sheetData>
  <mergeCells count="5">
    <mergeCell ref="C2:H2"/>
    <mergeCell ref="C3:H3"/>
    <mergeCell ref="C4:H4"/>
    <mergeCell ref="C5:H5"/>
    <mergeCell ref="C6:H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3F1F-A2D8-4338-9AC4-6BC1676DB5C4}">
  <sheetPr>
    <pageSetUpPr fitToPage="1"/>
  </sheetPr>
  <dimension ref="A1:K73"/>
  <sheetViews>
    <sheetView zoomScale="80" zoomScaleNormal="80" workbookViewId="0"/>
  </sheetViews>
  <sheetFormatPr defaultColWidth="8.81640625" defaultRowHeight="15.5"/>
  <cols>
    <col min="1" max="1" width="5.1796875" style="132" bestFit="1" customWidth="1"/>
    <col min="2" max="2" width="23.81640625" style="132" hidden="1" customWidth="1"/>
    <col min="3" max="3" width="80.54296875" style="128" customWidth="1"/>
    <col min="4" max="4" width="21.1796875" style="128" customWidth="1"/>
    <col min="5" max="5" width="1.54296875" style="128" customWidth="1"/>
    <col min="6" max="6" width="16.81640625" style="128" customWidth="1"/>
    <col min="7" max="7" width="1.54296875" style="128" customWidth="1"/>
    <col min="8" max="8" width="53.81640625" style="128" customWidth="1"/>
    <col min="9" max="9" width="5.1796875" style="128" customWidth="1"/>
    <col min="10" max="10" width="8.81640625" style="128"/>
    <col min="11" max="11" width="20.453125" style="128" bestFit="1" customWidth="1"/>
    <col min="12" max="16384" width="8.81640625" style="128"/>
  </cols>
  <sheetData>
    <row r="1" spans="1:9">
      <c r="A1" s="914" t="s">
        <v>747</v>
      </c>
    </row>
    <row r="2" spans="1:9">
      <c r="H2" s="132"/>
      <c r="I2" s="132"/>
    </row>
    <row r="3" spans="1:9">
      <c r="C3" s="1028" t="s">
        <v>0</v>
      </c>
      <c r="D3" s="1028"/>
      <c r="E3" s="1028"/>
      <c r="F3" s="1028"/>
      <c r="G3" s="1028"/>
      <c r="H3" s="1028"/>
      <c r="I3" s="132"/>
    </row>
    <row r="4" spans="1:9">
      <c r="C4" s="1028" t="s">
        <v>160</v>
      </c>
      <c r="D4" s="1028"/>
      <c r="E4" s="1028"/>
      <c r="F4" s="1028"/>
      <c r="G4" s="1028"/>
      <c r="H4" s="1028"/>
      <c r="I4" s="132"/>
    </row>
    <row r="5" spans="1:9">
      <c r="C5" s="1028" t="s">
        <v>161</v>
      </c>
      <c r="D5" s="1028"/>
      <c r="E5" s="1028"/>
      <c r="F5" s="1028"/>
      <c r="G5" s="1028"/>
      <c r="H5" s="1028"/>
      <c r="I5" s="132"/>
    </row>
    <row r="6" spans="1:9">
      <c r="C6" s="1029" t="s">
        <v>480</v>
      </c>
      <c r="D6" s="1029"/>
      <c r="E6" s="1029"/>
      <c r="F6" s="1029"/>
      <c r="G6" s="1029"/>
      <c r="H6" s="1029"/>
      <c r="I6" s="132"/>
    </row>
    <row r="7" spans="1:9">
      <c r="C7" s="1030" t="s">
        <v>1</v>
      </c>
      <c r="D7" s="1031"/>
      <c r="E7" s="1031"/>
      <c r="F7" s="1031"/>
      <c r="G7" s="1031"/>
      <c r="H7" s="1031"/>
      <c r="I7" s="132"/>
    </row>
    <row r="8" spans="1:9">
      <c r="C8" s="132"/>
      <c r="D8" s="132"/>
      <c r="E8" s="132"/>
      <c r="F8" s="219"/>
      <c r="G8" s="219"/>
      <c r="H8" s="132"/>
      <c r="I8" s="132"/>
    </row>
    <row r="9" spans="1:9">
      <c r="A9" s="132" t="s">
        <v>2</v>
      </c>
      <c r="C9" s="505"/>
      <c r="D9" s="132" t="s">
        <v>147</v>
      </c>
      <c r="E9" s="505"/>
      <c r="F9" s="220"/>
      <c r="G9" s="220"/>
      <c r="H9" s="132"/>
      <c r="I9" s="132" t="s">
        <v>2</v>
      </c>
    </row>
    <row r="10" spans="1:9">
      <c r="A10" s="132" t="s">
        <v>3</v>
      </c>
      <c r="B10" s="561" t="s">
        <v>158</v>
      </c>
      <c r="D10" s="561" t="s">
        <v>148</v>
      </c>
      <c r="E10" s="505"/>
      <c r="F10" s="567" t="s">
        <v>33</v>
      </c>
      <c r="G10" s="220"/>
      <c r="H10" s="561" t="s">
        <v>5</v>
      </c>
      <c r="I10" s="132" t="s">
        <v>3</v>
      </c>
    </row>
    <row r="11" spans="1:9">
      <c r="D11" s="505"/>
      <c r="E11" s="505"/>
      <c r="F11" s="220"/>
      <c r="G11" s="220"/>
      <c r="H11" s="132"/>
      <c r="I11" s="132"/>
    </row>
    <row r="12" spans="1:9">
      <c r="A12" s="132">
        <v>1</v>
      </c>
      <c r="C12" s="10" t="s">
        <v>162</v>
      </c>
      <c r="D12" s="505"/>
      <c r="E12" s="505"/>
      <c r="F12" s="220"/>
      <c r="G12" s="220"/>
      <c r="H12" s="132"/>
      <c r="I12" s="132">
        <f>A12</f>
        <v>1</v>
      </c>
    </row>
    <row r="13" spans="1:9">
      <c r="A13" s="132">
        <f>+A12+1</f>
        <v>2</v>
      </c>
      <c r="B13" s="216" t="s">
        <v>163</v>
      </c>
      <c r="C13" s="83" t="s">
        <v>164</v>
      </c>
      <c r="D13" s="505"/>
      <c r="E13" s="505"/>
      <c r="F13" s="217">
        <v>142.95551000000003</v>
      </c>
      <c r="G13" s="220"/>
      <c r="H13" s="132" t="s">
        <v>541</v>
      </c>
      <c r="I13" s="132">
        <f>I12+1</f>
        <v>2</v>
      </c>
    </row>
    <row r="14" spans="1:9">
      <c r="A14" s="132">
        <f t="shared" ref="A14:A68" si="0">+A13+1</f>
        <v>3</v>
      </c>
      <c r="D14" s="505"/>
      <c r="E14" s="505"/>
      <c r="F14" s="220"/>
      <c r="G14" s="220"/>
      <c r="H14" s="132"/>
      <c r="I14" s="132">
        <f t="shared" ref="I14:I68" si="1">I13+1</f>
        <v>3</v>
      </c>
    </row>
    <row r="15" spans="1:9">
      <c r="A15" s="132">
        <f t="shared" si="0"/>
        <v>4</v>
      </c>
      <c r="C15" s="10" t="s">
        <v>165</v>
      </c>
      <c r="H15" s="132"/>
      <c r="I15" s="132">
        <f t="shared" si="1"/>
        <v>4</v>
      </c>
    </row>
    <row r="16" spans="1:9">
      <c r="A16" s="132">
        <f t="shared" si="0"/>
        <v>5</v>
      </c>
      <c r="C16" s="1" t="s">
        <v>166</v>
      </c>
      <c r="D16" s="132"/>
      <c r="F16" s="217">
        <v>87862.165610000011</v>
      </c>
      <c r="H16" s="132" t="s">
        <v>542</v>
      </c>
      <c r="I16" s="132">
        <f t="shared" si="1"/>
        <v>5</v>
      </c>
    </row>
    <row r="17" spans="1:9">
      <c r="A17" s="132">
        <f t="shared" si="0"/>
        <v>6</v>
      </c>
      <c r="C17" s="1" t="s">
        <v>167</v>
      </c>
      <c r="F17" s="202"/>
      <c r="H17" s="132"/>
      <c r="I17" s="132">
        <f t="shared" si="1"/>
        <v>6</v>
      </c>
    </row>
    <row r="18" spans="1:9">
      <c r="A18" s="132">
        <f t="shared" si="0"/>
        <v>7</v>
      </c>
      <c r="C18" s="1" t="s">
        <v>434</v>
      </c>
      <c r="D18" s="206"/>
      <c r="F18" s="182">
        <v>-6098.2667300000003</v>
      </c>
      <c r="H18" s="132" t="s">
        <v>543</v>
      </c>
      <c r="I18" s="132">
        <f t="shared" si="1"/>
        <v>7</v>
      </c>
    </row>
    <row r="19" spans="1:9">
      <c r="A19" s="132">
        <f t="shared" si="0"/>
        <v>8</v>
      </c>
      <c r="C19" s="1" t="s">
        <v>435</v>
      </c>
      <c r="F19" s="182">
        <v>-2804.3944900000001</v>
      </c>
      <c r="H19" s="132" t="s">
        <v>544</v>
      </c>
      <c r="I19" s="132">
        <f t="shared" si="1"/>
        <v>8</v>
      </c>
    </row>
    <row r="20" spans="1:9">
      <c r="A20" s="132">
        <f t="shared" si="0"/>
        <v>9</v>
      </c>
      <c r="C20" s="83" t="s">
        <v>692</v>
      </c>
      <c r="F20" s="182">
        <v>-7321.03485</v>
      </c>
      <c r="H20" s="132" t="s">
        <v>545</v>
      </c>
      <c r="I20" s="132">
        <f t="shared" si="1"/>
        <v>9</v>
      </c>
    </row>
    <row r="21" spans="1:9">
      <c r="A21" s="132">
        <f t="shared" si="0"/>
        <v>10</v>
      </c>
      <c r="C21" s="1" t="s">
        <v>436</v>
      </c>
      <c r="F21" s="182">
        <v>0</v>
      </c>
      <c r="H21" s="132" t="s">
        <v>546</v>
      </c>
      <c r="I21" s="132">
        <f t="shared" si="1"/>
        <v>10</v>
      </c>
    </row>
    <row r="22" spans="1:9">
      <c r="A22" s="132">
        <f t="shared" si="0"/>
        <v>11</v>
      </c>
      <c r="C22" s="1" t="s">
        <v>437</v>
      </c>
      <c r="F22" s="182">
        <v>-6065.7316999999994</v>
      </c>
      <c r="H22" s="132" t="s">
        <v>547</v>
      </c>
      <c r="I22" s="132">
        <f t="shared" si="1"/>
        <v>11</v>
      </c>
    </row>
    <row r="23" spans="1:9">
      <c r="A23" s="132">
        <f t="shared" si="0"/>
        <v>12</v>
      </c>
      <c r="C23" s="83" t="s">
        <v>438</v>
      </c>
      <c r="F23" s="182">
        <v>-12091.902990000001</v>
      </c>
      <c r="H23" s="132" t="s">
        <v>548</v>
      </c>
      <c r="I23" s="132">
        <f t="shared" si="1"/>
        <v>12</v>
      </c>
    </row>
    <row r="24" spans="1:9">
      <c r="A24" s="132">
        <f t="shared" si="0"/>
        <v>13</v>
      </c>
      <c r="C24" s="83" t="s">
        <v>439</v>
      </c>
      <c r="F24" s="182">
        <v>-16365.16099</v>
      </c>
      <c r="H24" s="132" t="s">
        <v>549</v>
      </c>
      <c r="I24" s="132">
        <f t="shared" si="1"/>
        <v>13</v>
      </c>
    </row>
    <row r="25" spans="1:9">
      <c r="A25" s="132">
        <f t="shared" si="0"/>
        <v>14</v>
      </c>
      <c r="C25" s="83" t="s">
        <v>691</v>
      </c>
      <c r="F25" s="182">
        <v>-597.84213</v>
      </c>
      <c r="H25" s="132" t="s">
        <v>550</v>
      </c>
      <c r="I25" s="132">
        <f t="shared" si="1"/>
        <v>14</v>
      </c>
    </row>
    <row r="26" spans="1:9">
      <c r="A26" s="132">
        <f t="shared" si="0"/>
        <v>15</v>
      </c>
      <c r="C26" s="1" t="s">
        <v>168</v>
      </c>
      <c r="F26" s="774">
        <v>0</v>
      </c>
      <c r="H26" s="132" t="s">
        <v>440</v>
      </c>
      <c r="I26" s="132">
        <f t="shared" si="1"/>
        <v>15</v>
      </c>
    </row>
    <row r="27" spans="1:9">
      <c r="A27" s="132">
        <f t="shared" si="0"/>
        <v>16</v>
      </c>
      <c r="C27" s="5" t="s">
        <v>556</v>
      </c>
      <c r="F27" s="775">
        <v>-1483.653</v>
      </c>
      <c r="G27" s="671" t="s">
        <v>460</v>
      </c>
      <c r="H27" s="132" t="s">
        <v>719</v>
      </c>
      <c r="I27" s="132">
        <f t="shared" si="1"/>
        <v>16</v>
      </c>
    </row>
    <row r="28" spans="1:9" ht="16" thickBot="1">
      <c r="A28" s="132">
        <f t="shared" si="0"/>
        <v>17</v>
      </c>
      <c r="C28" s="1" t="s">
        <v>169</v>
      </c>
      <c r="F28" s="984">
        <f>SUM(F16:F27)</f>
        <v>35034.17873</v>
      </c>
      <c r="G28" s="671" t="s">
        <v>460</v>
      </c>
      <c r="H28" s="222" t="s">
        <v>557</v>
      </c>
      <c r="I28" s="132">
        <f t="shared" si="1"/>
        <v>17</v>
      </c>
    </row>
    <row r="29" spans="1:9" ht="16" thickTop="1">
      <c r="A29" s="132">
        <f t="shared" si="0"/>
        <v>18</v>
      </c>
      <c r="F29" s="123"/>
      <c r="I29" s="132">
        <f t="shared" si="1"/>
        <v>18</v>
      </c>
    </row>
    <row r="30" spans="1:9">
      <c r="A30" s="132">
        <f t="shared" si="0"/>
        <v>19</v>
      </c>
      <c r="C30" s="11" t="s">
        <v>170</v>
      </c>
      <c r="F30" s="223"/>
      <c r="H30" s="132"/>
      <c r="I30" s="132">
        <f t="shared" si="1"/>
        <v>19</v>
      </c>
    </row>
    <row r="31" spans="1:9">
      <c r="A31" s="132">
        <f t="shared" si="0"/>
        <v>20</v>
      </c>
      <c r="C31" s="3" t="s">
        <v>171</v>
      </c>
      <c r="D31" s="132"/>
      <c r="F31" s="217">
        <v>426216.35858000006</v>
      </c>
      <c r="H31" s="132" t="s">
        <v>551</v>
      </c>
      <c r="I31" s="132">
        <f t="shared" si="1"/>
        <v>20</v>
      </c>
    </row>
    <row r="32" spans="1:9">
      <c r="A32" s="132">
        <f t="shared" si="0"/>
        <v>21</v>
      </c>
      <c r="C32" s="3" t="s">
        <v>172</v>
      </c>
      <c r="F32" s="223" t="s">
        <v>6</v>
      </c>
      <c r="H32" s="132"/>
      <c r="I32" s="132">
        <f t="shared" si="1"/>
        <v>21</v>
      </c>
    </row>
    <row r="33" spans="1:11">
      <c r="A33" s="132">
        <f t="shared" si="0"/>
        <v>22</v>
      </c>
      <c r="C33" s="8" t="s">
        <v>418</v>
      </c>
      <c r="F33" s="182">
        <v>0</v>
      </c>
      <c r="H33" s="132" t="s">
        <v>427</v>
      </c>
      <c r="I33" s="132">
        <f t="shared" si="1"/>
        <v>22</v>
      </c>
      <c r="J33" s="224"/>
      <c r="K33" s="225"/>
    </row>
    <row r="34" spans="1:11" ht="15.65" customHeight="1">
      <c r="A34" s="132">
        <f t="shared" si="0"/>
        <v>23</v>
      </c>
      <c r="C34" s="9" t="s">
        <v>419</v>
      </c>
      <c r="F34" s="182">
        <v>0</v>
      </c>
      <c r="H34" s="132" t="s">
        <v>428</v>
      </c>
      <c r="I34" s="132">
        <f t="shared" si="1"/>
        <v>23</v>
      </c>
      <c r="J34" s="224"/>
      <c r="K34" s="226"/>
    </row>
    <row r="35" spans="1:11">
      <c r="A35" s="132">
        <f t="shared" si="0"/>
        <v>24</v>
      </c>
      <c r="C35" s="8" t="s">
        <v>693</v>
      </c>
      <c r="F35" s="182">
        <v>-590.93499999999995</v>
      </c>
      <c r="H35" s="132" t="s">
        <v>429</v>
      </c>
      <c r="I35" s="132">
        <f t="shared" si="1"/>
        <v>24</v>
      </c>
    </row>
    <row r="36" spans="1:11">
      <c r="A36" s="132">
        <f t="shared" si="0"/>
        <v>25</v>
      </c>
      <c r="C36" s="8" t="s">
        <v>420</v>
      </c>
      <c r="F36" s="182">
        <v>-8069.99107</v>
      </c>
      <c r="H36" s="132" t="s">
        <v>425</v>
      </c>
      <c r="I36" s="132">
        <f t="shared" si="1"/>
        <v>25</v>
      </c>
      <c r="K36" s="225"/>
    </row>
    <row r="37" spans="1:11">
      <c r="A37" s="132">
        <f t="shared" si="0"/>
        <v>26</v>
      </c>
      <c r="C37" s="8" t="s">
        <v>421</v>
      </c>
      <c r="F37" s="182">
        <v>-62.146000000000001</v>
      </c>
      <c r="H37" s="132" t="s">
        <v>426</v>
      </c>
      <c r="I37" s="132">
        <f t="shared" si="1"/>
        <v>26</v>
      </c>
      <c r="J37" s="224"/>
    </row>
    <row r="38" spans="1:11">
      <c r="A38" s="132">
        <f t="shared" si="0"/>
        <v>27</v>
      </c>
      <c r="C38" s="8" t="s">
        <v>422</v>
      </c>
      <c r="F38" s="182">
        <v>-192.75449</v>
      </c>
      <c r="H38" s="132" t="s">
        <v>430</v>
      </c>
      <c r="I38" s="132">
        <f t="shared" si="1"/>
        <v>27</v>
      </c>
      <c r="J38" s="224"/>
      <c r="K38" s="225"/>
    </row>
    <row r="39" spans="1:11">
      <c r="A39" s="132">
        <f t="shared" si="0"/>
        <v>28</v>
      </c>
      <c r="C39" s="8" t="s">
        <v>423</v>
      </c>
      <c r="F39" s="182">
        <v>-260.3999</v>
      </c>
      <c r="H39" s="227" t="s">
        <v>431</v>
      </c>
      <c r="I39" s="132">
        <f t="shared" si="1"/>
        <v>28</v>
      </c>
    </row>
    <row r="40" spans="1:11">
      <c r="A40" s="132">
        <f t="shared" si="0"/>
        <v>29</v>
      </c>
      <c r="C40" s="8" t="s">
        <v>558</v>
      </c>
      <c r="F40" s="182">
        <v>-70.022660000000002</v>
      </c>
      <c r="H40" s="132" t="s">
        <v>432</v>
      </c>
      <c r="I40" s="132">
        <f t="shared" si="1"/>
        <v>29</v>
      </c>
    </row>
    <row r="41" spans="1:11">
      <c r="A41" s="132">
        <f t="shared" si="0"/>
        <v>30</v>
      </c>
      <c r="C41" s="8" t="s">
        <v>424</v>
      </c>
      <c r="F41" s="182">
        <v>-120323.24240999999</v>
      </c>
      <c r="H41" s="132" t="s">
        <v>433</v>
      </c>
      <c r="I41" s="132">
        <f t="shared" si="1"/>
        <v>30</v>
      </c>
    </row>
    <row r="42" spans="1:11">
      <c r="A42" s="132">
        <f t="shared" si="0"/>
        <v>31</v>
      </c>
      <c r="C42" s="70" t="s">
        <v>556</v>
      </c>
      <c r="F42" s="800">
        <f>'Pg9.3 As Filed AH-3 FERC Adj'!H31</f>
        <v>-1534.3720000000001</v>
      </c>
      <c r="G42" s="671" t="s">
        <v>460</v>
      </c>
      <c r="H42" s="132" t="s">
        <v>720</v>
      </c>
      <c r="I42" s="132">
        <f t="shared" si="1"/>
        <v>31</v>
      </c>
    </row>
    <row r="43" spans="1:11">
      <c r="A43" s="132">
        <f t="shared" si="0"/>
        <v>32</v>
      </c>
      <c r="C43" s="3" t="s">
        <v>174</v>
      </c>
      <c r="F43" s="801">
        <f>SUM(F31:F42)</f>
        <v>295112.49505000003</v>
      </c>
      <c r="G43" s="671" t="s">
        <v>460</v>
      </c>
      <c r="H43" s="132" t="s">
        <v>559</v>
      </c>
      <c r="I43" s="132">
        <f t="shared" si="1"/>
        <v>32</v>
      </c>
    </row>
    <row r="44" spans="1:11">
      <c r="A44" s="132">
        <f t="shared" si="0"/>
        <v>33</v>
      </c>
      <c r="C44" s="3" t="s">
        <v>175</v>
      </c>
      <c r="F44" s="570">
        <v>-5391.9716699999999</v>
      </c>
      <c r="H44" s="132" t="s">
        <v>552</v>
      </c>
      <c r="I44" s="132">
        <f t="shared" si="1"/>
        <v>33</v>
      </c>
    </row>
    <row r="45" spans="1:11">
      <c r="A45" s="132">
        <f t="shared" si="0"/>
        <v>34</v>
      </c>
      <c r="C45" s="3" t="s">
        <v>176</v>
      </c>
      <c r="F45" s="801">
        <f>SUM(F43:F44)</f>
        <v>289720.52338000003</v>
      </c>
      <c r="G45" s="671" t="s">
        <v>460</v>
      </c>
      <c r="H45" s="132" t="s">
        <v>569</v>
      </c>
      <c r="I45" s="132">
        <f t="shared" si="1"/>
        <v>34</v>
      </c>
    </row>
    <row r="46" spans="1:11">
      <c r="A46" s="132">
        <f t="shared" si="0"/>
        <v>35</v>
      </c>
      <c r="C46" s="1" t="s">
        <v>150</v>
      </c>
      <c r="F46" s="571">
        <v>0.10301302624215687</v>
      </c>
      <c r="H46" s="222" t="s">
        <v>503</v>
      </c>
      <c r="I46" s="132">
        <f t="shared" si="1"/>
        <v>35</v>
      </c>
    </row>
    <row r="47" spans="1:11">
      <c r="A47" s="132">
        <f t="shared" si="0"/>
        <v>36</v>
      </c>
      <c r="C47" s="3" t="s">
        <v>177</v>
      </c>
      <c r="F47" s="802">
        <f>F45*F46</f>
        <v>29844.987877835367</v>
      </c>
      <c r="G47" s="671" t="s">
        <v>460</v>
      </c>
      <c r="H47" s="132" t="s">
        <v>570</v>
      </c>
      <c r="I47" s="132">
        <f t="shared" si="1"/>
        <v>36</v>
      </c>
    </row>
    <row r="48" spans="1:11">
      <c r="A48" s="132">
        <f t="shared" si="0"/>
        <v>37</v>
      </c>
      <c r="C48" s="128" t="s">
        <v>178</v>
      </c>
      <c r="F48" s="803">
        <f>F68*(-F44)</f>
        <v>2101.4006671145225</v>
      </c>
      <c r="G48" s="671" t="s">
        <v>460</v>
      </c>
      <c r="H48" s="132" t="s">
        <v>571</v>
      </c>
      <c r="I48" s="132">
        <f t="shared" si="1"/>
        <v>37</v>
      </c>
    </row>
    <row r="49" spans="1:10" ht="16" thickBot="1">
      <c r="A49" s="132">
        <f t="shared" si="0"/>
        <v>38</v>
      </c>
      <c r="C49" s="216" t="s">
        <v>179</v>
      </c>
      <c r="F49" s="804">
        <f>F48+F47</f>
        <v>31946.388544949888</v>
      </c>
      <c r="G49" s="671" t="s">
        <v>460</v>
      </c>
      <c r="H49" s="132" t="s">
        <v>572</v>
      </c>
      <c r="I49" s="132">
        <f t="shared" si="1"/>
        <v>38</v>
      </c>
      <c r="J49" s="216"/>
    </row>
    <row r="50" spans="1:10" ht="16" thickTop="1">
      <c r="A50" s="132">
        <f t="shared" si="0"/>
        <v>39</v>
      </c>
      <c r="C50" s="228"/>
      <c r="F50" s="229"/>
      <c r="H50" s="132"/>
      <c r="I50" s="132">
        <f t="shared" si="1"/>
        <v>39</v>
      </c>
    </row>
    <row r="51" spans="1:10">
      <c r="A51" s="132">
        <f t="shared" si="0"/>
        <v>40</v>
      </c>
      <c r="C51" s="4" t="s">
        <v>180</v>
      </c>
      <c r="F51" s="230"/>
      <c r="H51" s="132"/>
      <c r="I51" s="132">
        <f t="shared" si="1"/>
        <v>40</v>
      </c>
    </row>
    <row r="52" spans="1:10">
      <c r="A52" s="132">
        <f t="shared" si="0"/>
        <v>41</v>
      </c>
      <c r="C52" s="3" t="s">
        <v>181</v>
      </c>
      <c r="F52" s="805">
        <v>5249985.7493453845</v>
      </c>
      <c r="G52" s="671" t="s">
        <v>460</v>
      </c>
      <c r="H52" s="132" t="s">
        <v>721</v>
      </c>
      <c r="I52" s="132">
        <f t="shared" si="1"/>
        <v>41</v>
      </c>
    </row>
    <row r="53" spans="1:10">
      <c r="A53" s="132">
        <f t="shared" si="0"/>
        <v>42</v>
      </c>
      <c r="C53" s="3" t="s">
        <v>152</v>
      </c>
      <c r="F53" s="806">
        <v>0</v>
      </c>
      <c r="H53" s="132" t="s">
        <v>159</v>
      </c>
      <c r="I53" s="132">
        <f t="shared" si="1"/>
        <v>42</v>
      </c>
    </row>
    <row r="54" spans="1:10">
      <c r="A54" s="132">
        <f t="shared" si="0"/>
        <v>43</v>
      </c>
      <c r="C54" s="3" t="s">
        <v>153</v>
      </c>
      <c r="F54" s="807">
        <v>37219.570635083968</v>
      </c>
      <c r="G54" s="671" t="s">
        <v>460</v>
      </c>
      <c r="H54" s="231" t="s">
        <v>722</v>
      </c>
      <c r="I54" s="132">
        <f t="shared" si="1"/>
        <v>43</v>
      </c>
    </row>
    <row r="55" spans="1:10">
      <c r="A55" s="132">
        <f t="shared" si="0"/>
        <v>44</v>
      </c>
      <c r="C55" s="3" t="s">
        <v>154</v>
      </c>
      <c r="F55" s="808">
        <v>81579.657641467376</v>
      </c>
      <c r="G55" s="671" t="s">
        <v>460</v>
      </c>
      <c r="H55" s="231" t="s">
        <v>723</v>
      </c>
      <c r="I55" s="132">
        <f t="shared" si="1"/>
        <v>44</v>
      </c>
    </row>
    <row r="56" spans="1:10" ht="16" thickBot="1">
      <c r="A56" s="132">
        <f t="shared" si="0"/>
        <v>45</v>
      </c>
      <c r="C56" s="3" t="s">
        <v>182</v>
      </c>
      <c r="F56" s="809">
        <f>SUM(F52:F55)</f>
        <v>5368784.9776219362</v>
      </c>
      <c r="G56" s="671" t="s">
        <v>460</v>
      </c>
      <c r="H56" s="132" t="s">
        <v>574</v>
      </c>
      <c r="I56" s="132">
        <f t="shared" si="1"/>
        <v>45</v>
      </c>
      <c r="J56" s="117"/>
    </row>
    <row r="57" spans="1:10" ht="16" thickTop="1">
      <c r="A57" s="132">
        <f t="shared" si="0"/>
        <v>46</v>
      </c>
      <c r="C57" s="228"/>
      <c r="F57" s="215"/>
      <c r="H57" s="132"/>
      <c r="I57" s="132">
        <f t="shared" si="1"/>
        <v>46</v>
      </c>
    </row>
    <row r="58" spans="1:10">
      <c r="A58" s="132">
        <f t="shared" si="0"/>
        <v>47</v>
      </c>
      <c r="C58" s="3" t="s">
        <v>151</v>
      </c>
      <c r="F58" s="810">
        <f>F52</f>
        <v>5249985.7493453845</v>
      </c>
      <c r="G58" s="671" t="s">
        <v>460</v>
      </c>
      <c r="H58" s="189" t="s">
        <v>573</v>
      </c>
      <c r="I58" s="132">
        <f t="shared" si="1"/>
        <v>47</v>
      </c>
    </row>
    <row r="59" spans="1:10">
      <c r="A59" s="132">
        <f t="shared" si="0"/>
        <v>48</v>
      </c>
      <c r="C59" s="3" t="s">
        <v>183</v>
      </c>
      <c r="F59" s="811">
        <v>567644.06525538466</v>
      </c>
      <c r="G59" s="671" t="s">
        <v>460</v>
      </c>
      <c r="H59" s="231" t="s">
        <v>724</v>
      </c>
      <c r="I59" s="132">
        <f t="shared" si="1"/>
        <v>48</v>
      </c>
    </row>
    <row r="60" spans="1:10">
      <c r="A60" s="132">
        <f t="shared" si="0"/>
        <v>49</v>
      </c>
      <c r="C60" s="3" t="s">
        <v>184</v>
      </c>
      <c r="F60" s="806">
        <v>0</v>
      </c>
      <c r="H60" s="132" t="s">
        <v>159</v>
      </c>
      <c r="I60" s="132">
        <f t="shared" si="1"/>
        <v>49</v>
      </c>
    </row>
    <row r="61" spans="1:10">
      <c r="A61" s="132">
        <f t="shared" si="0"/>
        <v>50</v>
      </c>
      <c r="C61" s="3" t="s">
        <v>185</v>
      </c>
      <c r="F61" s="811">
        <v>510344.37089307694</v>
      </c>
      <c r="G61" s="671" t="s">
        <v>460</v>
      </c>
      <c r="H61" s="231" t="s">
        <v>725</v>
      </c>
      <c r="I61" s="132">
        <f t="shared" si="1"/>
        <v>50</v>
      </c>
    </row>
    <row r="62" spans="1:10">
      <c r="A62" s="132">
        <f t="shared" si="0"/>
        <v>51</v>
      </c>
      <c r="C62" s="3" t="s">
        <v>186</v>
      </c>
      <c r="F62" s="811">
        <v>6294515.042524999</v>
      </c>
      <c r="G62" s="671" t="s">
        <v>460</v>
      </c>
      <c r="H62" s="231" t="s">
        <v>726</v>
      </c>
      <c r="I62" s="132">
        <f t="shared" si="1"/>
        <v>51</v>
      </c>
    </row>
    <row r="63" spans="1:10">
      <c r="A63" s="132">
        <f t="shared" si="0"/>
        <v>52</v>
      </c>
      <c r="C63" s="216" t="s">
        <v>152</v>
      </c>
      <c r="F63" s="806">
        <v>0</v>
      </c>
      <c r="H63" s="132" t="s">
        <v>159</v>
      </c>
      <c r="I63" s="132">
        <f t="shared" si="1"/>
        <v>52</v>
      </c>
    </row>
    <row r="64" spans="1:10">
      <c r="A64" s="132">
        <f t="shared" si="0"/>
        <v>53</v>
      </c>
      <c r="C64" s="3" t="s">
        <v>187</v>
      </c>
      <c r="F64" s="811">
        <v>361309.36050350004</v>
      </c>
      <c r="G64" s="671" t="s">
        <v>460</v>
      </c>
      <c r="H64" s="231" t="s">
        <v>713</v>
      </c>
      <c r="I64" s="132">
        <f t="shared" si="1"/>
        <v>53</v>
      </c>
    </row>
    <row r="65" spans="1:10">
      <c r="A65" s="132">
        <f t="shared" si="0"/>
        <v>54</v>
      </c>
      <c r="C65" s="3" t="s">
        <v>188</v>
      </c>
      <c r="F65" s="812">
        <v>791935.35630818945</v>
      </c>
      <c r="G65" s="671" t="s">
        <v>460</v>
      </c>
      <c r="H65" s="231" t="s">
        <v>712</v>
      </c>
      <c r="I65" s="132">
        <f t="shared" si="1"/>
        <v>54</v>
      </c>
    </row>
    <row r="66" spans="1:10" ht="16" thickBot="1">
      <c r="A66" s="132">
        <f t="shared" si="0"/>
        <v>55</v>
      </c>
      <c r="C66" s="3" t="s">
        <v>189</v>
      </c>
      <c r="F66" s="813">
        <f>SUM(F58:F65)</f>
        <v>13775733.944830537</v>
      </c>
      <c r="G66" s="671" t="s">
        <v>460</v>
      </c>
      <c r="H66" s="132" t="s">
        <v>575</v>
      </c>
      <c r="I66" s="132">
        <f t="shared" si="1"/>
        <v>55</v>
      </c>
      <c r="J66" s="117"/>
    </row>
    <row r="67" spans="1:10" ht="16" thickTop="1">
      <c r="A67" s="132">
        <f t="shared" si="0"/>
        <v>56</v>
      </c>
      <c r="F67" s="210"/>
      <c r="H67" s="132"/>
      <c r="I67" s="132">
        <f t="shared" si="1"/>
        <v>56</v>
      </c>
    </row>
    <row r="68" spans="1:10" ht="19" thickBot="1">
      <c r="A68" s="132">
        <f t="shared" si="0"/>
        <v>57</v>
      </c>
      <c r="C68" s="3" t="s">
        <v>190</v>
      </c>
      <c r="F68" s="814">
        <f>F56/F66</f>
        <v>0.38972769067136487</v>
      </c>
      <c r="G68" s="671" t="s">
        <v>460</v>
      </c>
      <c r="H68" s="132" t="s">
        <v>576</v>
      </c>
      <c r="I68" s="132">
        <f t="shared" si="1"/>
        <v>57</v>
      </c>
      <c r="J68" s="117"/>
    </row>
    <row r="69" spans="1:10" ht="16" thickTop="1">
      <c r="C69" s="216" t="s">
        <v>6</v>
      </c>
      <c r="F69" s="233"/>
      <c r="H69" s="132"/>
      <c r="I69" s="132"/>
    </row>
    <row r="70" spans="1:10">
      <c r="C70" s="216"/>
      <c r="F70" s="233"/>
      <c r="H70" s="132"/>
      <c r="I70" s="132"/>
    </row>
    <row r="71" spans="1:10">
      <c r="A71" s="671" t="s">
        <v>460</v>
      </c>
      <c r="C71" s="5" t="s">
        <v>687</v>
      </c>
      <c r="F71" s="233"/>
      <c r="G71" s="233"/>
      <c r="H71" s="132"/>
      <c r="I71" s="132"/>
    </row>
    <row r="72" spans="1:10" ht="18">
      <c r="A72" s="234">
        <v>1</v>
      </c>
      <c r="B72" s="234"/>
      <c r="C72" s="3" t="s">
        <v>554</v>
      </c>
      <c r="I72" s="132"/>
    </row>
    <row r="73" spans="1:10">
      <c r="C73" s="216"/>
      <c r="F73" s="210"/>
      <c r="G73" s="210"/>
      <c r="H73" s="132"/>
      <c r="I73" s="132"/>
    </row>
  </sheetData>
  <mergeCells count="5">
    <mergeCell ref="C3:H3"/>
    <mergeCell ref="C4:H4"/>
    <mergeCell ref="C5:H5"/>
    <mergeCell ref="C6:H6"/>
    <mergeCell ref="C7:H7"/>
  </mergeCells>
  <printOptions horizontalCentered="1"/>
  <pageMargins left="0.5" right="0.5" top="0.5" bottom="0.5" header="0.35" footer="0.25"/>
  <pageSetup scale="51" orientation="portrait" r:id="rId1"/>
  <headerFooter scaleWithDoc="0" alignWithMargins="0">
    <oddHeader>&amp;C&amp;"Times New Roman,Bold"&amp;7AS FILED STMT AH WITH FERC AUDIT ADJ INCL IN APPENDIX X CYCLE 12 (ER24-176)</oddHeader>
    <oddFooter>&amp;L&amp;F&amp;CPage 9.1&amp;R&amp;A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EF30-F86E-4F0A-9E68-C662EECF6020}">
  <sheetPr>
    <pageSetUpPr fitToPage="1"/>
  </sheetPr>
  <dimension ref="A2:R80"/>
  <sheetViews>
    <sheetView zoomScale="80" zoomScaleNormal="80" workbookViewId="0"/>
  </sheetViews>
  <sheetFormatPr defaultColWidth="9.1796875" defaultRowHeight="15.5"/>
  <cols>
    <col min="1" max="1" width="5.1796875" style="142" customWidth="1"/>
    <col min="2" max="2" width="8.54296875" style="138" customWidth="1"/>
    <col min="3" max="3" width="65.1796875" style="138" customWidth="1"/>
    <col min="4" max="4" width="13.54296875" style="138" customWidth="1"/>
    <col min="5" max="5" width="14" style="138" customWidth="1"/>
    <col min="6" max="6" width="14.453125" style="138" customWidth="1"/>
    <col min="7" max="7" width="2" style="138" bestFit="1" customWidth="1"/>
    <col min="8" max="8" width="12.6328125" style="138" bestFit="1" customWidth="1"/>
    <col min="9" max="9" width="2.1796875" style="144" customWidth="1"/>
    <col min="10" max="10" width="16.6328125" style="138" bestFit="1" customWidth="1"/>
    <col min="11" max="11" width="15.1796875" style="138" bestFit="1" customWidth="1"/>
    <col min="12" max="12" width="2" style="138" bestFit="1" customWidth="1"/>
    <col min="13" max="13" width="14.6328125" style="138" customWidth="1"/>
    <col min="14" max="14" width="34.54296875" style="138" customWidth="1"/>
    <col min="15" max="15" width="5.1796875" style="142" customWidth="1"/>
    <col min="16" max="16" width="4" style="138" customWidth="1"/>
    <col min="17" max="17" width="13.1796875" style="138" bestFit="1" customWidth="1"/>
    <col min="18" max="18" width="9.1796875" style="138"/>
    <col min="19" max="19" width="9.81640625" style="138" customWidth="1"/>
    <col min="20" max="20" width="10" style="138" customWidth="1"/>
    <col min="21" max="16384" width="9.1796875" style="138"/>
  </cols>
  <sheetData>
    <row r="2" spans="1:18">
      <c r="B2" s="1032" t="s">
        <v>0</v>
      </c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39"/>
    </row>
    <row r="3" spans="1:18">
      <c r="B3" s="1032" t="s">
        <v>200</v>
      </c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39"/>
    </row>
    <row r="4" spans="1:18">
      <c r="B4" s="1032" t="s">
        <v>535</v>
      </c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39"/>
    </row>
    <row r="5" spans="1:18">
      <c r="B5" s="1033" t="s">
        <v>1</v>
      </c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39"/>
    </row>
    <row r="6" spans="1:18" ht="16" thickBot="1">
      <c r="D6" s="573"/>
      <c r="E6" s="573"/>
      <c r="F6" s="573"/>
      <c r="G6" s="776"/>
      <c r="H6" s="776"/>
      <c r="I6" s="932"/>
      <c r="J6" s="776"/>
      <c r="K6" s="776"/>
      <c r="L6" s="776"/>
      <c r="M6" s="776"/>
      <c r="N6" s="573"/>
      <c r="Q6" s="128"/>
    </row>
    <row r="7" spans="1:18" ht="18">
      <c r="A7" s="139"/>
      <c r="B7" s="574"/>
      <c r="C7" s="140"/>
      <c r="D7" s="575" t="s">
        <v>7</v>
      </c>
      <c r="E7" s="141" t="s">
        <v>8</v>
      </c>
      <c r="F7" s="575" t="s">
        <v>192</v>
      </c>
      <c r="G7" s="777"/>
      <c r="H7" s="781" t="s">
        <v>10</v>
      </c>
      <c r="I7" s="762"/>
      <c r="J7" s="762" t="s">
        <v>555</v>
      </c>
      <c r="K7" s="781" t="s">
        <v>750</v>
      </c>
      <c r="L7" s="781"/>
      <c r="M7" s="919" t="s">
        <v>751</v>
      </c>
      <c r="N7" s="576"/>
      <c r="O7" s="139"/>
    </row>
    <row r="8" spans="1:18">
      <c r="A8" s="142" t="s">
        <v>2</v>
      </c>
      <c r="B8" s="143" t="s">
        <v>191</v>
      </c>
      <c r="C8" s="144"/>
      <c r="D8" s="145" t="s">
        <v>4</v>
      </c>
      <c r="E8" s="139" t="s">
        <v>193</v>
      </c>
      <c r="F8" s="145" t="s">
        <v>4</v>
      </c>
      <c r="G8" s="778"/>
      <c r="H8" s="782" t="s">
        <v>563</v>
      </c>
      <c r="I8" s="783"/>
      <c r="J8" s="763" t="s">
        <v>744</v>
      </c>
      <c r="K8" s="505" t="s">
        <v>752</v>
      </c>
      <c r="L8" s="505"/>
      <c r="M8" s="920" t="s">
        <v>753</v>
      </c>
      <c r="N8" s="146"/>
      <c r="O8" s="142" t="s">
        <v>2</v>
      </c>
    </row>
    <row r="9" spans="1:18" ht="16" thickBot="1">
      <c r="A9" s="142" t="s">
        <v>3</v>
      </c>
      <c r="B9" s="147" t="s">
        <v>194</v>
      </c>
      <c r="C9" s="577" t="s">
        <v>114</v>
      </c>
      <c r="D9" s="148" t="s">
        <v>195</v>
      </c>
      <c r="E9" s="577" t="s">
        <v>196</v>
      </c>
      <c r="F9" s="148" t="s">
        <v>197</v>
      </c>
      <c r="G9" s="779"/>
      <c r="H9" s="784" t="s">
        <v>743</v>
      </c>
      <c r="I9" s="785"/>
      <c r="J9" s="785" t="s">
        <v>745</v>
      </c>
      <c r="K9" s="921" t="s">
        <v>754</v>
      </c>
      <c r="L9" s="921"/>
      <c r="M9" s="922" t="s">
        <v>95</v>
      </c>
      <c r="N9" s="149" t="s">
        <v>5</v>
      </c>
      <c r="O9" s="142" t="s">
        <v>3</v>
      </c>
      <c r="P9" s="142"/>
    </row>
    <row r="10" spans="1:18">
      <c r="B10" s="150"/>
      <c r="C10" s="151" t="s">
        <v>201</v>
      </c>
      <c r="D10" s="125"/>
      <c r="E10" s="152"/>
      <c r="F10" s="153"/>
      <c r="G10" s="780"/>
      <c r="H10" s="780"/>
      <c r="I10" s="933"/>
      <c r="J10" s="791"/>
      <c r="K10" s="780"/>
      <c r="L10" s="780"/>
      <c r="M10" s="923"/>
      <c r="N10" s="154"/>
    </row>
    <row r="11" spans="1:18">
      <c r="A11" s="142">
        <v>1</v>
      </c>
      <c r="B11" s="150">
        <v>920</v>
      </c>
      <c r="C11" s="155" t="s">
        <v>202</v>
      </c>
      <c r="D11" s="124">
        <v>36248.331859999998</v>
      </c>
      <c r="E11" s="124">
        <v>0</v>
      </c>
      <c r="F11" s="124">
        <f>D11-E11</f>
        <v>36248.331859999998</v>
      </c>
      <c r="G11" s="349"/>
      <c r="H11" s="349"/>
      <c r="I11" s="120"/>
      <c r="J11" s="766">
        <f>F11+H11</f>
        <v>36248.331859999998</v>
      </c>
      <c r="K11" s="349"/>
      <c r="L11" s="349"/>
      <c r="M11" s="124">
        <f>J11-K11</f>
        <v>36248.331859999998</v>
      </c>
      <c r="N11" s="133" t="s">
        <v>203</v>
      </c>
      <c r="O11" s="142">
        <f>A11</f>
        <v>1</v>
      </c>
      <c r="P11" s="138" t="s">
        <v>6</v>
      </c>
      <c r="Q11" s="122"/>
    </row>
    <row r="12" spans="1:18" ht="17">
      <c r="A12" s="142">
        <f t="shared" ref="A12:A60" si="0">A11+1</f>
        <v>2</v>
      </c>
      <c r="B12" s="150">
        <v>921</v>
      </c>
      <c r="C12" s="155" t="s">
        <v>204</v>
      </c>
      <c r="D12" s="125">
        <v>7641.1020099999996</v>
      </c>
      <c r="E12" s="134">
        <f>E34</f>
        <v>0</v>
      </c>
      <c r="F12" s="125">
        <f>D12-E12</f>
        <v>7641.1020099999996</v>
      </c>
      <c r="G12" s="760" t="s">
        <v>460</v>
      </c>
      <c r="H12" s="134">
        <v>-462.197</v>
      </c>
      <c r="I12" s="787">
        <v>5</v>
      </c>
      <c r="J12" s="765">
        <f>F12+H12</f>
        <v>7178.9050099999995</v>
      </c>
      <c r="K12" s="503"/>
      <c r="L12" s="503"/>
      <c r="M12" s="125">
        <f>J12-K12</f>
        <v>7178.9050099999995</v>
      </c>
      <c r="N12" s="133" t="s">
        <v>205</v>
      </c>
      <c r="O12" s="142">
        <f t="shared" ref="O12:O60" si="1">O11+1</f>
        <v>2</v>
      </c>
      <c r="Q12" s="122"/>
      <c r="R12" s="156"/>
    </row>
    <row r="13" spans="1:18" ht="16.5">
      <c r="A13" s="142">
        <f t="shared" si="0"/>
        <v>3</v>
      </c>
      <c r="B13" s="150">
        <v>922</v>
      </c>
      <c r="C13" s="155" t="s">
        <v>206</v>
      </c>
      <c r="D13" s="125">
        <v>-7634.7186500000007</v>
      </c>
      <c r="E13" s="134">
        <v>0</v>
      </c>
      <c r="F13" s="125">
        <f>D13-E13</f>
        <v>-7634.7186500000007</v>
      </c>
      <c r="G13" s="760" t="s">
        <v>460</v>
      </c>
      <c r="H13" s="134">
        <v>-2350</v>
      </c>
      <c r="I13" s="788">
        <v>2</v>
      </c>
      <c r="J13" s="765">
        <f t="shared" ref="J13:J24" si="2">F13+H13</f>
        <v>-9984.7186500000007</v>
      </c>
      <c r="K13" s="503"/>
      <c r="L13" s="503"/>
      <c r="M13" s="125">
        <f t="shared" ref="M13:M24" si="3">J13-K13</f>
        <v>-9984.7186500000007</v>
      </c>
      <c r="N13" s="133" t="s">
        <v>207</v>
      </c>
      <c r="O13" s="142">
        <f t="shared" si="1"/>
        <v>3</v>
      </c>
      <c r="Q13" s="122"/>
    </row>
    <row r="14" spans="1:18" ht="17">
      <c r="A14" s="142">
        <f t="shared" si="0"/>
        <v>4</v>
      </c>
      <c r="B14" s="150">
        <v>923</v>
      </c>
      <c r="C14" s="155" t="s">
        <v>208</v>
      </c>
      <c r="D14" s="125">
        <v>83058.368900000001</v>
      </c>
      <c r="E14" s="134">
        <v>0</v>
      </c>
      <c r="F14" s="125">
        <f>D14-E14</f>
        <v>83058.368900000001</v>
      </c>
      <c r="G14" s="760" t="s">
        <v>460</v>
      </c>
      <c r="H14" s="488">
        <v>1267.24</v>
      </c>
      <c r="I14" s="787">
        <v>3</v>
      </c>
      <c r="J14" s="765">
        <f t="shared" si="2"/>
        <v>84325.608900000007</v>
      </c>
      <c r="K14" s="503"/>
      <c r="L14" s="503"/>
      <c r="M14" s="125">
        <f t="shared" si="3"/>
        <v>84325.608900000007</v>
      </c>
      <c r="N14" s="133" t="s">
        <v>209</v>
      </c>
      <c r="O14" s="142">
        <f t="shared" si="1"/>
        <v>4</v>
      </c>
      <c r="Q14" s="122"/>
    </row>
    <row r="15" spans="1:18">
      <c r="A15" s="142">
        <f t="shared" si="0"/>
        <v>5</v>
      </c>
      <c r="B15" s="150">
        <v>924</v>
      </c>
      <c r="C15" s="155" t="s">
        <v>210</v>
      </c>
      <c r="D15" s="125">
        <v>5391.9716699999999</v>
      </c>
      <c r="E15" s="134">
        <v>0</v>
      </c>
      <c r="F15" s="125">
        <f t="shared" ref="F15:F16" si="4">D15-E15</f>
        <v>5391.9716699999999</v>
      </c>
      <c r="G15" s="134"/>
      <c r="H15" s="134"/>
      <c r="I15" s="930"/>
      <c r="J15" s="765">
        <f t="shared" si="2"/>
        <v>5391.9716699999999</v>
      </c>
      <c r="K15" s="134"/>
      <c r="L15" s="134"/>
      <c r="M15" s="125">
        <f t="shared" si="3"/>
        <v>5391.9716699999999</v>
      </c>
      <c r="N15" s="133" t="s">
        <v>211</v>
      </c>
      <c r="O15" s="142">
        <f t="shared" si="1"/>
        <v>5</v>
      </c>
      <c r="Q15" s="122"/>
    </row>
    <row r="16" spans="1:18">
      <c r="A16" s="142">
        <f t="shared" si="0"/>
        <v>6</v>
      </c>
      <c r="B16" s="150">
        <v>925</v>
      </c>
      <c r="C16" s="155" t="s">
        <v>212</v>
      </c>
      <c r="D16" s="125">
        <v>95755.199519999995</v>
      </c>
      <c r="E16" s="134">
        <f>E35</f>
        <v>83.285070000000005</v>
      </c>
      <c r="F16" s="125">
        <f t="shared" si="4"/>
        <v>95671.914449999997</v>
      </c>
      <c r="G16" s="134"/>
      <c r="H16" s="134"/>
      <c r="I16" s="930"/>
      <c r="J16" s="765">
        <f t="shared" si="2"/>
        <v>95671.914449999997</v>
      </c>
      <c r="K16" s="134"/>
      <c r="L16" s="134"/>
      <c r="M16" s="125">
        <f t="shared" si="3"/>
        <v>95671.914449999997</v>
      </c>
      <c r="N16" s="133" t="s">
        <v>213</v>
      </c>
      <c r="O16" s="142">
        <f t="shared" si="1"/>
        <v>6</v>
      </c>
      <c r="Q16" s="122"/>
    </row>
    <row r="17" spans="1:17">
      <c r="A17" s="142">
        <f t="shared" si="0"/>
        <v>7</v>
      </c>
      <c r="B17" s="150">
        <v>926</v>
      </c>
      <c r="C17" s="155" t="s">
        <v>214</v>
      </c>
      <c r="D17" s="125">
        <v>40059.178220000002</v>
      </c>
      <c r="E17" s="134">
        <f>E36</f>
        <v>177.11483000000001</v>
      </c>
      <c r="F17" s="125">
        <f>D17-E17</f>
        <v>39882.063390000003</v>
      </c>
      <c r="G17" s="134"/>
      <c r="H17" s="134"/>
      <c r="I17" s="930"/>
      <c r="J17" s="765">
        <f t="shared" si="2"/>
        <v>39882.063390000003</v>
      </c>
      <c r="K17" s="134"/>
      <c r="L17" s="134"/>
      <c r="M17" s="125">
        <f t="shared" si="3"/>
        <v>39882.063390000003</v>
      </c>
      <c r="N17" s="133" t="s">
        <v>215</v>
      </c>
      <c r="O17" s="142">
        <f t="shared" si="1"/>
        <v>7</v>
      </c>
      <c r="Q17" s="157"/>
    </row>
    <row r="18" spans="1:17">
      <c r="A18" s="142">
        <f t="shared" si="0"/>
        <v>8</v>
      </c>
      <c r="B18" s="150">
        <v>927</v>
      </c>
      <c r="C18" s="155" t="s">
        <v>216</v>
      </c>
      <c r="D18" s="125">
        <v>120400.69545999999</v>
      </c>
      <c r="E18" s="134">
        <f>E37</f>
        <v>120400.69545999999</v>
      </c>
      <c r="F18" s="125">
        <f t="shared" ref="F18:F20" si="5">D18-E18</f>
        <v>0</v>
      </c>
      <c r="G18" s="134"/>
      <c r="H18" s="134"/>
      <c r="I18" s="930"/>
      <c r="J18" s="765">
        <f t="shared" si="2"/>
        <v>0</v>
      </c>
      <c r="K18" s="134"/>
      <c r="L18" s="134"/>
      <c r="M18" s="125">
        <f t="shared" si="3"/>
        <v>0</v>
      </c>
      <c r="N18" s="133" t="s">
        <v>217</v>
      </c>
      <c r="O18" s="142">
        <f t="shared" si="1"/>
        <v>8</v>
      </c>
      <c r="Q18" s="157"/>
    </row>
    <row r="19" spans="1:17" ht="17">
      <c r="A19" s="142">
        <f t="shared" si="0"/>
        <v>9</v>
      </c>
      <c r="B19" s="150">
        <v>928</v>
      </c>
      <c r="C19" s="155" t="s">
        <v>218</v>
      </c>
      <c r="D19" s="125">
        <v>18404.989890000001</v>
      </c>
      <c r="E19" s="134">
        <f>E42</f>
        <v>8723.0720700000002</v>
      </c>
      <c r="F19" s="125">
        <f t="shared" si="5"/>
        <v>9681.9178200000006</v>
      </c>
      <c r="G19" s="760" t="s">
        <v>460</v>
      </c>
      <c r="H19" s="488">
        <v>216.41300000000001</v>
      </c>
      <c r="I19" s="787">
        <v>4</v>
      </c>
      <c r="J19" s="765">
        <f t="shared" si="2"/>
        <v>9898.330820000001</v>
      </c>
      <c r="K19" s="503"/>
      <c r="L19" s="503"/>
      <c r="M19" s="125">
        <f t="shared" si="3"/>
        <v>9898.330820000001</v>
      </c>
      <c r="N19" s="133" t="s">
        <v>219</v>
      </c>
      <c r="O19" s="142">
        <f t="shared" si="1"/>
        <v>9</v>
      </c>
      <c r="Q19" s="157"/>
    </row>
    <row r="20" spans="1:17">
      <c r="A20" s="142">
        <f t="shared" si="0"/>
        <v>10</v>
      </c>
      <c r="B20" s="143">
        <v>929</v>
      </c>
      <c r="C20" s="155" t="s">
        <v>220</v>
      </c>
      <c r="D20" s="125">
        <v>-2220.7239900000004</v>
      </c>
      <c r="E20" s="134">
        <v>0</v>
      </c>
      <c r="F20" s="125">
        <f t="shared" si="5"/>
        <v>-2220.7239900000004</v>
      </c>
      <c r="G20" s="134"/>
      <c r="H20" s="134"/>
      <c r="I20" s="770"/>
      <c r="J20" s="765">
        <f t="shared" si="2"/>
        <v>-2220.7239900000004</v>
      </c>
      <c r="K20" s="503">
        <v>-458.73322999999999</v>
      </c>
      <c r="L20" s="929" t="s">
        <v>460</v>
      </c>
      <c r="M20" s="924">
        <f t="shared" si="3"/>
        <v>-1761.9907600000004</v>
      </c>
      <c r="N20" s="133" t="s">
        <v>221</v>
      </c>
      <c r="O20" s="142">
        <f t="shared" si="1"/>
        <v>10</v>
      </c>
      <c r="Q20" s="122"/>
    </row>
    <row r="21" spans="1:17">
      <c r="A21" s="142">
        <f t="shared" si="0"/>
        <v>11</v>
      </c>
      <c r="B21" s="158">
        <v>930.1</v>
      </c>
      <c r="C21" s="155" t="s">
        <v>222</v>
      </c>
      <c r="D21" s="125">
        <v>192.75449</v>
      </c>
      <c r="E21" s="134">
        <f>E44</f>
        <v>192.75449</v>
      </c>
      <c r="F21" s="125">
        <f>D21-E21</f>
        <v>0</v>
      </c>
      <c r="G21" s="134"/>
      <c r="H21" s="134"/>
      <c r="I21" s="770"/>
      <c r="J21" s="765">
        <f t="shared" si="2"/>
        <v>0</v>
      </c>
      <c r="K21" s="134"/>
      <c r="L21" s="134"/>
      <c r="M21" s="125">
        <f t="shared" si="3"/>
        <v>0</v>
      </c>
      <c r="N21" s="133" t="s">
        <v>223</v>
      </c>
      <c r="O21" s="142">
        <f t="shared" si="1"/>
        <v>11</v>
      </c>
      <c r="Q21" s="122"/>
    </row>
    <row r="22" spans="1:17" ht="17">
      <c r="A22" s="142">
        <f t="shared" si="0"/>
        <v>12</v>
      </c>
      <c r="B22" s="158">
        <v>930.2</v>
      </c>
      <c r="C22" s="155" t="s">
        <v>224</v>
      </c>
      <c r="D22" s="125">
        <v>7233.07431</v>
      </c>
      <c r="E22" s="134">
        <f>E46</f>
        <v>-77.453050000000005</v>
      </c>
      <c r="F22" s="125">
        <f t="shared" ref="F22" si="6">D22-E22</f>
        <v>7310.52736</v>
      </c>
      <c r="G22" s="760" t="s">
        <v>460</v>
      </c>
      <c r="H22" s="134">
        <v>-205.828</v>
      </c>
      <c r="I22" s="787">
        <v>5</v>
      </c>
      <c r="J22" s="765">
        <f t="shared" si="2"/>
        <v>7104.6993599999996</v>
      </c>
      <c r="K22" s="503"/>
      <c r="L22" s="503"/>
      <c r="M22" s="125">
        <f t="shared" si="3"/>
        <v>7104.6993599999996</v>
      </c>
      <c r="N22" s="133" t="s">
        <v>225</v>
      </c>
      <c r="O22" s="142">
        <f t="shared" si="1"/>
        <v>12</v>
      </c>
      <c r="Q22" s="159"/>
    </row>
    <row r="23" spans="1:17">
      <c r="A23" s="142">
        <f t="shared" si="0"/>
        <v>13</v>
      </c>
      <c r="B23" s="150">
        <v>931</v>
      </c>
      <c r="C23" s="155" t="s">
        <v>198</v>
      </c>
      <c r="D23" s="125">
        <v>11960.795340000001</v>
      </c>
      <c r="E23" s="134">
        <v>0</v>
      </c>
      <c r="F23" s="125">
        <f>D23-E23</f>
        <v>11960.795340000001</v>
      </c>
      <c r="G23" s="134"/>
      <c r="H23" s="134"/>
      <c r="I23" s="770"/>
      <c r="J23" s="765">
        <f t="shared" si="2"/>
        <v>11960.795340000001</v>
      </c>
      <c r="K23" s="134"/>
      <c r="L23" s="134"/>
      <c r="M23" s="125">
        <f t="shared" si="3"/>
        <v>11960.795340000001</v>
      </c>
      <c r="N23" s="133" t="s">
        <v>226</v>
      </c>
      <c r="O23" s="142">
        <f t="shared" si="1"/>
        <v>13</v>
      </c>
      <c r="Q23" s="122"/>
    </row>
    <row r="24" spans="1:17">
      <c r="A24" s="142">
        <f t="shared" si="0"/>
        <v>14</v>
      </c>
      <c r="B24" s="150">
        <v>935</v>
      </c>
      <c r="C24" s="155" t="s">
        <v>227</v>
      </c>
      <c r="D24" s="355">
        <v>9138.2105500000016</v>
      </c>
      <c r="E24" s="528">
        <f>E48</f>
        <v>70.022660000000002</v>
      </c>
      <c r="F24" s="355">
        <f>D24-E24</f>
        <v>9068.1878900000011</v>
      </c>
      <c r="G24" s="767"/>
      <c r="H24" s="528"/>
      <c r="I24" s="931"/>
      <c r="J24" s="355">
        <f t="shared" si="2"/>
        <v>9068.1878900000011</v>
      </c>
      <c r="K24" s="767"/>
      <c r="L24" s="528"/>
      <c r="M24" s="355">
        <f t="shared" si="3"/>
        <v>9068.1878900000011</v>
      </c>
      <c r="N24" s="133" t="s">
        <v>228</v>
      </c>
      <c r="O24" s="142">
        <f t="shared" si="1"/>
        <v>14</v>
      </c>
      <c r="P24" s="138" t="s">
        <v>6</v>
      </c>
      <c r="Q24" s="122"/>
    </row>
    <row r="25" spans="1:17">
      <c r="A25" s="142">
        <f t="shared" si="0"/>
        <v>15</v>
      </c>
      <c r="B25" s="150"/>
      <c r="D25" s="160"/>
      <c r="F25" s="160"/>
      <c r="I25" s="934"/>
      <c r="J25" s="792"/>
      <c r="M25" s="160"/>
      <c r="N25" s="161"/>
      <c r="O25" s="142">
        <f t="shared" si="1"/>
        <v>15</v>
      </c>
    </row>
    <row r="26" spans="1:17" ht="16" thickBot="1">
      <c r="A26" s="142">
        <f t="shared" si="0"/>
        <v>16</v>
      </c>
      <c r="B26" s="150"/>
      <c r="C26" s="144" t="s">
        <v>229</v>
      </c>
      <c r="D26" s="162">
        <f>SUM(D11:D24)</f>
        <v>425629.22958000004</v>
      </c>
      <c r="E26" s="578">
        <f>SUM(E11:E24)</f>
        <v>129569.49153</v>
      </c>
      <c r="F26" s="135">
        <f>SUM(F11:F24)</f>
        <v>296059.73804999999</v>
      </c>
      <c r="G26" s="772" t="s">
        <v>460</v>
      </c>
      <c r="H26" s="768">
        <f>SUM(H11:H24)</f>
        <v>-1534.3720000000001</v>
      </c>
      <c r="I26" s="578"/>
      <c r="J26" s="135">
        <f>SUM(J11:J24)</f>
        <v>294525.36605000001</v>
      </c>
      <c r="K26" s="925">
        <f>SUM(K11:K24)</f>
        <v>-458.73322999999999</v>
      </c>
      <c r="L26" s="938" t="s">
        <v>460</v>
      </c>
      <c r="M26" s="578">
        <f>SUM(M11:M24)</f>
        <v>294984.09928000002</v>
      </c>
      <c r="N26" s="163" t="s">
        <v>560</v>
      </c>
      <c r="O26" s="142">
        <f t="shared" si="1"/>
        <v>16</v>
      </c>
    </row>
    <row r="27" spans="1:17" ht="16" thickTop="1">
      <c r="A27" s="142">
        <f t="shared" si="0"/>
        <v>17</v>
      </c>
      <c r="B27" s="150"/>
      <c r="C27" s="144"/>
      <c r="D27" s="130"/>
      <c r="E27" s="120"/>
      <c r="F27" s="136"/>
      <c r="G27" s="761"/>
      <c r="H27" s="761"/>
      <c r="I27" s="120"/>
      <c r="J27" s="771"/>
      <c r="K27" s="761"/>
      <c r="L27" s="761"/>
      <c r="M27" s="136"/>
      <c r="N27" s="163"/>
      <c r="O27" s="142">
        <f t="shared" si="1"/>
        <v>17</v>
      </c>
    </row>
    <row r="28" spans="1:17" ht="18">
      <c r="A28" s="142">
        <f t="shared" si="0"/>
        <v>18</v>
      </c>
      <c r="B28" s="150">
        <v>413</v>
      </c>
      <c r="C28" s="138" t="s">
        <v>230</v>
      </c>
      <c r="D28" s="564">
        <v>587.12900000000002</v>
      </c>
      <c r="E28" s="310">
        <v>0</v>
      </c>
      <c r="F28" s="355">
        <f>D28-E28</f>
        <v>587.12900000000002</v>
      </c>
      <c r="G28" s="767"/>
      <c r="H28" s="528"/>
      <c r="I28" s="931"/>
      <c r="J28" s="355">
        <f t="shared" ref="J28" si="7">F28+H28</f>
        <v>587.12900000000002</v>
      </c>
      <c r="K28" s="767"/>
      <c r="L28" s="528"/>
      <c r="M28" s="355">
        <f t="shared" ref="M28" si="8">J28-K28</f>
        <v>587.12900000000002</v>
      </c>
      <c r="N28" s="163" t="s">
        <v>561</v>
      </c>
      <c r="O28" s="142">
        <f t="shared" si="1"/>
        <v>18</v>
      </c>
    </row>
    <row r="29" spans="1:17">
      <c r="A29" s="142">
        <f t="shared" si="0"/>
        <v>19</v>
      </c>
      <c r="B29" s="150"/>
      <c r="C29" s="144"/>
      <c r="D29" s="130"/>
      <c r="E29" s="120"/>
      <c r="F29" s="136"/>
      <c r="G29" s="761"/>
      <c r="H29" s="761"/>
      <c r="I29" s="120"/>
      <c r="J29" s="771"/>
      <c r="K29" s="761"/>
      <c r="L29" s="761"/>
      <c r="M29" s="136"/>
      <c r="N29" s="163"/>
      <c r="O29" s="142">
        <f t="shared" si="1"/>
        <v>19</v>
      </c>
    </row>
    <row r="30" spans="1:17" ht="16" thickBot="1">
      <c r="A30" s="142">
        <f t="shared" si="0"/>
        <v>20</v>
      </c>
      <c r="B30" s="150"/>
      <c r="C30" s="144" t="s">
        <v>231</v>
      </c>
      <c r="D30" s="162">
        <f>D26+D28</f>
        <v>426216.35858000006</v>
      </c>
      <c r="E30" s="120">
        <f>E26+E28</f>
        <v>129569.49153</v>
      </c>
      <c r="F30" s="136">
        <f>F26+F28</f>
        <v>296646.86705</v>
      </c>
      <c r="G30" s="772" t="s">
        <v>460</v>
      </c>
      <c r="H30" s="768">
        <f>H26+H28</f>
        <v>-1534.3720000000001</v>
      </c>
      <c r="I30" s="578"/>
      <c r="J30" s="135">
        <f>J26+J28</f>
        <v>295112.49505000003</v>
      </c>
      <c r="K30" s="925">
        <f>K26+K28</f>
        <v>-458.73322999999999</v>
      </c>
      <c r="L30" s="938" t="s">
        <v>460</v>
      </c>
      <c r="M30" s="578">
        <f>M26+M28</f>
        <v>295571.22828000004</v>
      </c>
      <c r="N30" s="163" t="s">
        <v>562</v>
      </c>
      <c r="O30" s="142">
        <f t="shared" si="1"/>
        <v>20</v>
      </c>
    </row>
    <row r="31" spans="1:17" ht="16.5" thickTop="1" thickBot="1">
      <c r="A31" s="142">
        <f t="shared" si="0"/>
        <v>21</v>
      </c>
      <c r="B31" s="164"/>
      <c r="C31" s="573"/>
      <c r="D31" s="165"/>
      <c r="E31" s="166"/>
      <c r="F31" s="166"/>
      <c r="G31" s="926"/>
      <c r="H31" s="927"/>
      <c r="I31" s="928"/>
      <c r="J31" s="166"/>
      <c r="K31" s="927"/>
      <c r="L31" s="921"/>
      <c r="M31" s="166"/>
      <c r="N31" s="167"/>
      <c r="O31" s="142">
        <f t="shared" si="1"/>
        <v>21</v>
      </c>
    </row>
    <row r="32" spans="1:17">
      <c r="A32" s="142">
        <f t="shared" si="0"/>
        <v>22</v>
      </c>
      <c r="B32" s="168"/>
      <c r="D32" s="169"/>
      <c r="E32" s="170"/>
      <c r="F32" s="169"/>
      <c r="G32" s="169"/>
      <c r="H32" s="169"/>
      <c r="I32" s="935"/>
      <c r="J32" s="169"/>
      <c r="K32" s="169"/>
      <c r="L32" s="169"/>
      <c r="M32" s="169"/>
      <c r="N32" s="161"/>
      <c r="O32" s="142">
        <f t="shared" si="1"/>
        <v>22</v>
      </c>
    </row>
    <row r="33" spans="1:17">
      <c r="A33" s="142">
        <f t="shared" si="0"/>
        <v>23</v>
      </c>
      <c r="B33" s="171" t="s">
        <v>232</v>
      </c>
      <c r="C33" s="142"/>
      <c r="D33" s="142"/>
      <c r="E33" s="142"/>
      <c r="F33" s="142"/>
      <c r="G33" s="142"/>
      <c r="H33" s="142"/>
      <c r="I33" s="139"/>
      <c r="J33" s="142"/>
      <c r="K33" s="142"/>
      <c r="L33" s="142"/>
      <c r="M33" s="142"/>
      <c r="N33" s="161"/>
      <c r="O33" s="142">
        <f t="shared" si="1"/>
        <v>23</v>
      </c>
    </row>
    <row r="34" spans="1:17">
      <c r="A34" s="163">
        <f t="shared" si="0"/>
        <v>24</v>
      </c>
      <c r="B34" s="490">
        <v>925</v>
      </c>
      <c r="C34" s="489" t="s">
        <v>233</v>
      </c>
      <c r="D34" s="624">
        <v>83.285070000000005</v>
      </c>
      <c r="E34" s="625"/>
      <c r="F34" s="142"/>
      <c r="G34" s="142"/>
      <c r="H34" s="142"/>
      <c r="I34" s="139"/>
      <c r="J34" s="142"/>
      <c r="K34" s="142"/>
      <c r="L34" s="142"/>
      <c r="M34" s="142"/>
      <c r="N34" s="161"/>
      <c r="O34" s="142">
        <f t="shared" si="1"/>
        <v>24</v>
      </c>
    </row>
    <row r="35" spans="1:17">
      <c r="A35" s="142">
        <f t="shared" si="0"/>
        <v>25</v>
      </c>
      <c r="B35" s="487"/>
      <c r="C35" s="489" t="s">
        <v>212</v>
      </c>
      <c r="D35" s="637">
        <v>0</v>
      </c>
      <c r="E35" s="626">
        <v>83.285070000000005</v>
      </c>
      <c r="F35" s="142"/>
      <c r="G35" s="142"/>
      <c r="H35" s="142"/>
      <c r="I35" s="139"/>
      <c r="J35" s="142"/>
      <c r="K35" s="142"/>
      <c r="L35" s="142"/>
      <c r="M35" s="142"/>
      <c r="N35" s="161"/>
      <c r="O35" s="142">
        <f t="shared" si="1"/>
        <v>25</v>
      </c>
    </row>
    <row r="36" spans="1:17">
      <c r="A36" s="142">
        <f t="shared" si="0"/>
        <v>26</v>
      </c>
      <c r="B36" s="487">
        <v>926</v>
      </c>
      <c r="C36" s="491" t="s">
        <v>233</v>
      </c>
      <c r="D36" s="627"/>
      <c r="E36" s="225">
        <v>177.11483000000001</v>
      </c>
      <c r="F36" s="142"/>
      <c r="G36" s="142"/>
      <c r="H36" s="142"/>
      <c r="I36" s="139"/>
      <c r="J36" s="142"/>
      <c r="K36" s="142"/>
      <c r="L36" s="142"/>
      <c r="M36" s="142"/>
      <c r="N36" s="161"/>
      <c r="O36" s="142">
        <f t="shared" si="1"/>
        <v>26</v>
      </c>
    </row>
    <row r="37" spans="1:17">
      <c r="A37" s="142">
        <f t="shared" si="0"/>
        <v>27</v>
      </c>
      <c r="B37" s="487">
        <v>927</v>
      </c>
      <c r="C37" s="491" t="s">
        <v>216</v>
      </c>
      <c r="D37" s="627"/>
      <c r="E37" s="225">
        <v>120400.69545999999</v>
      </c>
      <c r="F37" s="142"/>
      <c r="G37" s="142"/>
      <c r="H37" s="142"/>
      <c r="I37" s="139"/>
      <c r="J37" s="142"/>
      <c r="K37" s="142"/>
      <c r="L37" s="142"/>
      <c r="M37" s="142"/>
      <c r="N37" s="161"/>
      <c r="O37" s="142">
        <f t="shared" si="1"/>
        <v>27</v>
      </c>
    </row>
    <row r="38" spans="1:17">
      <c r="A38" s="142">
        <f t="shared" si="0"/>
        <v>28</v>
      </c>
      <c r="B38" s="487">
        <v>928</v>
      </c>
      <c r="C38" s="491" t="s">
        <v>233</v>
      </c>
      <c r="D38" s="628">
        <v>0</v>
      </c>
      <c r="E38" s="627"/>
      <c r="N38" s="161"/>
      <c r="O38" s="142">
        <f t="shared" si="1"/>
        <v>28</v>
      </c>
      <c r="Q38" s="155"/>
    </row>
    <row r="39" spans="1:17">
      <c r="A39" s="142">
        <f t="shared" si="0"/>
        <v>29</v>
      </c>
      <c r="B39" s="487"/>
      <c r="C39" s="491" t="s">
        <v>234</v>
      </c>
      <c r="D39" s="628">
        <v>0</v>
      </c>
      <c r="E39" s="629"/>
      <c r="N39" s="161"/>
      <c r="O39" s="142">
        <f t="shared" si="1"/>
        <v>29</v>
      </c>
    </row>
    <row r="40" spans="1:17">
      <c r="A40" s="142">
        <f t="shared" si="0"/>
        <v>30</v>
      </c>
      <c r="B40" s="487"/>
      <c r="C40" s="491" t="s">
        <v>235</v>
      </c>
      <c r="D40" s="488">
        <v>590.93499999999995</v>
      </c>
      <c r="E40" s="629"/>
      <c r="N40" s="161"/>
      <c r="O40" s="142">
        <f t="shared" si="1"/>
        <v>30</v>
      </c>
    </row>
    <row r="41" spans="1:17">
      <c r="A41" s="142">
        <f t="shared" si="0"/>
        <v>31</v>
      </c>
      <c r="B41" s="487"/>
      <c r="C41" s="489" t="s">
        <v>236</v>
      </c>
      <c r="D41" s="488">
        <v>8069.99107</v>
      </c>
      <c r="E41" s="488"/>
      <c r="N41" s="161"/>
      <c r="O41" s="142">
        <f t="shared" si="1"/>
        <v>31</v>
      </c>
    </row>
    <row r="42" spans="1:17">
      <c r="A42" s="142">
        <f t="shared" si="0"/>
        <v>32</v>
      </c>
      <c r="B42" s="487"/>
      <c r="C42" s="489" t="s">
        <v>237</v>
      </c>
      <c r="D42" s="572">
        <v>62.146000000000001</v>
      </c>
      <c r="E42" s="303">
        <v>8723.0720700000002</v>
      </c>
      <c r="N42" s="161"/>
      <c r="O42" s="142">
        <f t="shared" si="1"/>
        <v>32</v>
      </c>
    </row>
    <row r="43" spans="1:17" ht="18">
      <c r="A43" s="142">
        <f t="shared" si="0"/>
        <v>33</v>
      </c>
      <c r="B43" s="936">
        <v>929</v>
      </c>
      <c r="C43" s="174" t="s">
        <v>755</v>
      </c>
      <c r="D43" s="488"/>
      <c r="E43" s="303"/>
      <c r="N43" s="161"/>
      <c r="O43" s="142">
        <f t="shared" si="1"/>
        <v>33</v>
      </c>
    </row>
    <row r="44" spans="1:17">
      <c r="A44" s="142">
        <f t="shared" si="0"/>
        <v>34</v>
      </c>
      <c r="B44" s="630">
        <v>930.1</v>
      </c>
      <c r="C44" s="489" t="s">
        <v>222</v>
      </c>
      <c r="D44" s="627"/>
      <c r="E44" s="303">
        <v>192.75449</v>
      </c>
      <c r="N44" s="161"/>
      <c r="O44" s="142">
        <f t="shared" si="1"/>
        <v>34</v>
      </c>
    </row>
    <row r="45" spans="1:17">
      <c r="A45" s="142">
        <f t="shared" si="0"/>
        <v>35</v>
      </c>
      <c r="B45" s="631">
        <v>930.2</v>
      </c>
      <c r="C45" s="491" t="s">
        <v>238</v>
      </c>
      <c r="D45" s="634">
        <v>0</v>
      </c>
      <c r="E45" s="495"/>
      <c r="F45" s="172"/>
      <c r="G45" s="172"/>
      <c r="H45" s="172"/>
      <c r="I45" s="172"/>
      <c r="J45" s="172"/>
      <c r="K45" s="172"/>
      <c r="L45" s="172"/>
      <c r="M45" s="172"/>
      <c r="N45" s="173"/>
      <c r="O45" s="142">
        <f t="shared" si="1"/>
        <v>35</v>
      </c>
    </row>
    <row r="46" spans="1:17">
      <c r="A46" s="142">
        <f t="shared" si="0"/>
        <v>36</v>
      </c>
      <c r="B46" s="486"/>
      <c r="C46" s="489" t="s">
        <v>239</v>
      </c>
      <c r="D46" s="635">
        <v>-77.453050000000005</v>
      </c>
      <c r="E46" s="488">
        <v>-77.453050000000005</v>
      </c>
      <c r="N46" s="161"/>
      <c r="O46" s="142">
        <f t="shared" si="1"/>
        <v>36</v>
      </c>
    </row>
    <row r="47" spans="1:17">
      <c r="A47" s="142">
        <f t="shared" si="0"/>
        <v>37</v>
      </c>
      <c r="B47" s="632">
        <v>931</v>
      </c>
      <c r="C47" s="491" t="s">
        <v>238</v>
      </c>
      <c r="D47" s="633"/>
      <c r="E47" s="493">
        <v>0</v>
      </c>
      <c r="N47" s="161"/>
      <c r="O47" s="142">
        <f t="shared" si="1"/>
        <v>37</v>
      </c>
    </row>
    <row r="48" spans="1:17">
      <c r="A48" s="142">
        <f t="shared" si="0"/>
        <v>38</v>
      </c>
      <c r="B48" s="632">
        <v>935</v>
      </c>
      <c r="C48" s="491" t="s">
        <v>240</v>
      </c>
      <c r="D48" s="636"/>
      <c r="E48" s="579">
        <v>70.022660000000002</v>
      </c>
      <c r="F48" s="172"/>
      <c r="G48" s="172"/>
      <c r="H48" s="172"/>
      <c r="I48" s="172"/>
      <c r="J48" s="172"/>
      <c r="K48" s="172"/>
      <c r="L48" s="172"/>
      <c r="M48" s="172"/>
      <c r="N48" s="173"/>
      <c r="O48" s="142">
        <f t="shared" si="1"/>
        <v>38</v>
      </c>
    </row>
    <row r="49" spans="1:15">
      <c r="A49" s="142">
        <f t="shared" si="0"/>
        <v>39</v>
      </c>
      <c r="B49" s="487"/>
      <c r="C49" s="492"/>
      <c r="D49" s="494"/>
      <c r="E49" s="488"/>
      <c r="N49" s="161"/>
      <c r="O49" s="142">
        <f t="shared" si="1"/>
        <v>39</v>
      </c>
    </row>
    <row r="50" spans="1:15" ht="16" thickBot="1">
      <c r="A50" s="142">
        <f t="shared" si="0"/>
        <v>40</v>
      </c>
      <c r="B50" s="168"/>
      <c r="C50" s="174" t="s">
        <v>199</v>
      </c>
      <c r="D50" s="6"/>
      <c r="E50" s="580">
        <f>SUM(E34:E49)</f>
        <v>129569.49153</v>
      </c>
      <c r="F50" s="131"/>
      <c r="G50" s="131"/>
      <c r="H50" s="131"/>
      <c r="I50" s="131"/>
      <c r="J50" s="131"/>
      <c r="K50" s="131"/>
      <c r="L50" s="131"/>
      <c r="M50" s="131"/>
      <c r="N50" s="161"/>
      <c r="O50" s="142">
        <f t="shared" si="1"/>
        <v>40</v>
      </c>
    </row>
    <row r="51" spans="1:15" ht="16" thickTop="1">
      <c r="A51" s="142">
        <f t="shared" si="0"/>
        <v>41</v>
      </c>
      <c r="B51" s="168"/>
      <c r="C51" s="174"/>
      <c r="E51" s="175"/>
      <c r="F51" s="131"/>
      <c r="G51" s="131"/>
      <c r="H51" s="131"/>
      <c r="I51" s="131"/>
      <c r="J51" s="131"/>
      <c r="K51" s="131"/>
      <c r="L51" s="131"/>
      <c r="M51" s="131"/>
      <c r="N51" s="161"/>
      <c r="O51" s="142">
        <f t="shared" si="1"/>
        <v>41</v>
      </c>
    </row>
    <row r="52" spans="1:15">
      <c r="A52" s="142">
        <f t="shared" si="0"/>
        <v>42</v>
      </c>
      <c r="B52" s="168"/>
      <c r="C52" s="174"/>
      <c r="E52" s="175"/>
      <c r="F52" s="131"/>
      <c r="G52" s="131"/>
      <c r="H52" s="131"/>
      <c r="I52" s="131"/>
      <c r="J52" s="131"/>
      <c r="K52" s="131"/>
      <c r="L52" s="131"/>
      <c r="M52" s="131"/>
      <c r="N52" s="161"/>
      <c r="O52" s="142">
        <f t="shared" si="1"/>
        <v>42</v>
      </c>
    </row>
    <row r="53" spans="1:15">
      <c r="A53" s="142">
        <f t="shared" si="0"/>
        <v>43</v>
      </c>
      <c r="B53" s="773" t="s">
        <v>460</v>
      </c>
      <c r="C53" s="174" t="str">
        <f>'Pg2 App X C7 Comparison'!B63</f>
        <v>Items in BOLD have changed to correct the over-allocation of "Duplicate Charges (Company Energy Use)" Credit in FERC Account no. 929.</v>
      </c>
      <c r="E53" s="175"/>
      <c r="F53" s="131"/>
      <c r="G53" s="131"/>
      <c r="H53" s="131"/>
      <c r="I53" s="131"/>
      <c r="J53" s="131"/>
      <c r="K53" s="131"/>
      <c r="L53" s="131"/>
      <c r="M53" s="131"/>
      <c r="N53" s="161"/>
      <c r="O53" s="142">
        <f t="shared" si="1"/>
        <v>43</v>
      </c>
    </row>
    <row r="54" spans="1:15" ht="18.5">
      <c r="A54" s="142">
        <f t="shared" si="0"/>
        <v>44</v>
      </c>
      <c r="B54" s="137">
        <v>1</v>
      </c>
      <c r="C54" s="80" t="s">
        <v>564</v>
      </c>
      <c r="E54" s="175"/>
      <c r="F54" s="131"/>
      <c r="G54" s="131"/>
      <c r="H54" s="131"/>
      <c r="I54" s="131"/>
      <c r="J54" s="131"/>
      <c r="K54" s="131"/>
      <c r="L54" s="131"/>
      <c r="M54" s="131"/>
      <c r="N54" s="161"/>
      <c r="O54" s="142">
        <f t="shared" si="1"/>
        <v>44</v>
      </c>
    </row>
    <row r="55" spans="1:15" ht="17">
      <c r="A55" s="142">
        <f t="shared" si="0"/>
        <v>45</v>
      </c>
      <c r="B55" s="799">
        <v>2</v>
      </c>
      <c r="C55" s="1" t="s">
        <v>565</v>
      </c>
      <c r="E55" s="175"/>
      <c r="F55" s="131"/>
      <c r="G55" s="131"/>
      <c r="H55" s="131"/>
      <c r="I55" s="131"/>
      <c r="J55" s="131"/>
      <c r="K55" s="131"/>
      <c r="L55" s="131"/>
      <c r="M55" s="131"/>
      <c r="N55" s="161"/>
      <c r="O55" s="142">
        <f t="shared" si="1"/>
        <v>45</v>
      </c>
    </row>
    <row r="56" spans="1:15" ht="17">
      <c r="A56" s="142">
        <f t="shared" si="0"/>
        <v>46</v>
      </c>
      <c r="B56" s="799">
        <v>3</v>
      </c>
      <c r="C56" s="1" t="s">
        <v>566</v>
      </c>
      <c r="E56" s="175"/>
      <c r="F56" s="131"/>
      <c r="G56" s="131"/>
      <c r="H56" s="131"/>
      <c r="I56" s="131"/>
      <c r="J56" s="131"/>
      <c r="K56" s="131"/>
      <c r="L56" s="131"/>
      <c r="M56" s="131"/>
      <c r="N56" s="161"/>
      <c r="O56" s="142">
        <f t="shared" si="1"/>
        <v>46</v>
      </c>
    </row>
    <row r="57" spans="1:15" ht="17">
      <c r="A57" s="142">
        <f t="shared" si="0"/>
        <v>47</v>
      </c>
      <c r="B57" s="799">
        <v>4</v>
      </c>
      <c r="C57" s="1" t="s">
        <v>567</v>
      </c>
      <c r="E57" s="175"/>
      <c r="F57" s="131"/>
      <c r="G57" s="131"/>
      <c r="H57" s="131"/>
      <c r="I57" s="131"/>
      <c r="J57" s="131"/>
      <c r="K57" s="131"/>
      <c r="L57" s="131"/>
      <c r="M57" s="131"/>
      <c r="N57" s="161"/>
      <c r="O57" s="142">
        <f t="shared" si="1"/>
        <v>47</v>
      </c>
    </row>
    <row r="58" spans="1:15" ht="17">
      <c r="A58" s="142">
        <f t="shared" si="0"/>
        <v>48</v>
      </c>
      <c r="B58" s="799">
        <v>5</v>
      </c>
      <c r="C58" s="1" t="s">
        <v>568</v>
      </c>
      <c r="E58" s="175"/>
      <c r="F58" s="131"/>
      <c r="G58" s="131"/>
      <c r="H58" s="131"/>
      <c r="I58" s="131"/>
      <c r="J58" s="131"/>
      <c r="K58" s="131"/>
      <c r="L58" s="131"/>
      <c r="M58" s="131"/>
      <c r="N58" s="161"/>
      <c r="O58" s="142">
        <f t="shared" si="1"/>
        <v>48</v>
      </c>
    </row>
    <row r="59" spans="1:15" ht="16.5">
      <c r="A59" s="142">
        <f t="shared" si="0"/>
        <v>49</v>
      </c>
      <c r="B59" s="937">
        <v>6</v>
      </c>
      <c r="C59" s="80" t="s">
        <v>756</v>
      </c>
      <c r="E59" s="175"/>
      <c r="F59" s="131"/>
      <c r="G59" s="131"/>
      <c r="H59" s="131"/>
      <c r="I59" s="131"/>
      <c r="J59" s="131"/>
      <c r="K59" s="131"/>
      <c r="L59" s="131"/>
      <c r="M59" s="131"/>
      <c r="N59" s="161"/>
      <c r="O59" s="142">
        <f t="shared" si="1"/>
        <v>49</v>
      </c>
    </row>
    <row r="60" spans="1:15" ht="16" thickBot="1">
      <c r="A60" s="142">
        <f t="shared" si="0"/>
        <v>50</v>
      </c>
      <c r="B60" s="176"/>
      <c r="C60" s="581"/>
      <c r="D60" s="573"/>
      <c r="E60" s="573"/>
      <c r="F60" s="573"/>
      <c r="G60" s="776"/>
      <c r="H60" s="776"/>
      <c r="I60" s="932"/>
      <c r="J60" s="776"/>
      <c r="K60" s="776"/>
      <c r="L60" s="776"/>
      <c r="M60" s="776"/>
      <c r="N60" s="167"/>
      <c r="O60" s="142">
        <f t="shared" si="1"/>
        <v>50</v>
      </c>
    </row>
    <row r="61" spans="1:15">
      <c r="C61" s="155"/>
    </row>
    <row r="62" spans="1:15">
      <c r="A62" s="139"/>
      <c r="C62" s="155"/>
      <c r="D62" s="177"/>
      <c r="E62" s="177"/>
    </row>
    <row r="63" spans="1:15" ht="18">
      <c r="A63" s="178"/>
      <c r="C63" s="155"/>
    </row>
    <row r="64" spans="1:15" ht="18">
      <c r="A64" s="178"/>
      <c r="C64" s="155"/>
    </row>
    <row r="65" spans="1:3" ht="18">
      <c r="A65" s="178"/>
      <c r="C65" s="155"/>
    </row>
    <row r="66" spans="1:3" ht="18">
      <c r="A66" s="178"/>
      <c r="C66" s="155"/>
    </row>
    <row r="67" spans="1:3" ht="18">
      <c r="A67" s="178"/>
      <c r="C67" s="155"/>
    </row>
    <row r="68" spans="1:3" ht="18">
      <c r="A68" s="178"/>
      <c r="C68" s="155"/>
    </row>
    <row r="69" spans="1:3">
      <c r="A69" s="139"/>
      <c r="C69" s="155"/>
    </row>
    <row r="70" spans="1:3" ht="18">
      <c r="A70" s="178"/>
      <c r="C70" s="155"/>
    </row>
    <row r="71" spans="1:3">
      <c r="A71" s="139"/>
      <c r="C71" s="155"/>
    </row>
    <row r="72" spans="1:3" ht="18">
      <c r="A72" s="178"/>
      <c r="C72" s="155"/>
    </row>
    <row r="73" spans="1:3">
      <c r="A73" s="139"/>
      <c r="C73" s="155"/>
    </row>
    <row r="74" spans="1:3" ht="18">
      <c r="A74" s="178"/>
      <c r="C74" s="155"/>
    </row>
    <row r="75" spans="1:3" ht="18">
      <c r="A75" s="178"/>
      <c r="B75" s="155"/>
    </row>
    <row r="76" spans="1:3" ht="18">
      <c r="A76" s="178"/>
      <c r="B76" s="155"/>
    </row>
    <row r="77" spans="1:3">
      <c r="B77" s="155"/>
    </row>
    <row r="78" spans="1:3" ht="18">
      <c r="A78" s="178"/>
      <c r="B78" s="155"/>
    </row>
    <row r="79" spans="1:3">
      <c r="A79" s="179"/>
      <c r="B79" s="180"/>
    </row>
    <row r="80" spans="1:3">
      <c r="B80" s="155"/>
    </row>
  </sheetData>
  <mergeCells count="4">
    <mergeCell ref="B2:N2"/>
    <mergeCell ref="B3:N3"/>
    <mergeCell ref="B4:N4"/>
    <mergeCell ref="B5:N5"/>
  </mergeCells>
  <printOptions horizontalCentered="1"/>
  <pageMargins left="0.25" right="0.25" top="0.5" bottom="0.5" header="0.35" footer="0.25"/>
  <pageSetup scale="45" orientation="portrait" r:id="rId1"/>
  <headerFooter scaleWithDoc="0" alignWithMargins="0">
    <oddHeader>&amp;C&amp;"Times New Roman,Bold"&amp;7REVISED</oddHeader>
    <oddFooter>&amp;L&amp;F&amp;CPage 9.2&amp;R&amp;A</oddFooter>
  </headerFooter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234C-A2B4-4F2C-9067-29C1DC76CC98}">
  <sheetPr>
    <pageSetUpPr fitToPage="1"/>
  </sheetPr>
  <dimension ref="A1:O79"/>
  <sheetViews>
    <sheetView zoomScale="80" zoomScaleNormal="80" workbookViewId="0"/>
  </sheetViews>
  <sheetFormatPr defaultColWidth="9.1796875" defaultRowHeight="15.5"/>
  <cols>
    <col min="1" max="1" width="5.1796875" style="142" customWidth="1"/>
    <col min="2" max="2" width="8.54296875" style="138" customWidth="1"/>
    <col min="3" max="3" width="65.1796875" style="138" customWidth="1"/>
    <col min="4" max="6" width="16.81640625" style="138" customWidth="1"/>
    <col min="7" max="7" width="2" style="138" bestFit="1" customWidth="1"/>
    <col min="8" max="8" width="12.6328125" style="138" bestFit="1" customWidth="1"/>
    <col min="9" max="9" width="2.1796875" style="138" customWidth="1"/>
    <col min="10" max="10" width="16.6328125" style="138" bestFit="1" customWidth="1"/>
    <col min="11" max="11" width="34.54296875" style="138" customWidth="1"/>
    <col min="12" max="12" width="5.1796875" style="142" customWidth="1"/>
    <col min="13" max="13" width="4" style="138" customWidth="1"/>
    <col min="14" max="14" width="13.1796875" style="138" bestFit="1" customWidth="1"/>
    <col min="15" max="15" width="9.1796875" style="138"/>
    <col min="16" max="16" width="9.81640625" style="138" customWidth="1"/>
    <col min="17" max="17" width="10" style="138" customWidth="1"/>
    <col min="18" max="16384" width="9.1796875" style="138"/>
  </cols>
  <sheetData>
    <row r="1" spans="1:15">
      <c r="A1" s="914" t="s">
        <v>748</v>
      </c>
    </row>
    <row r="3" spans="1:15">
      <c r="B3" s="1032" t="s">
        <v>0</v>
      </c>
      <c r="C3" s="1032"/>
      <c r="D3" s="1032"/>
      <c r="E3" s="1032"/>
      <c r="F3" s="1032"/>
      <c r="G3" s="1032"/>
      <c r="H3" s="1032"/>
      <c r="I3" s="1032"/>
      <c r="J3" s="1032"/>
      <c r="K3" s="1032"/>
      <c r="L3" s="139"/>
    </row>
    <row r="4" spans="1:15">
      <c r="B4" s="1032" t="s">
        <v>200</v>
      </c>
      <c r="C4" s="1032"/>
      <c r="D4" s="1032"/>
      <c r="E4" s="1032"/>
      <c r="F4" s="1032"/>
      <c r="G4" s="1032"/>
      <c r="H4" s="1032"/>
      <c r="I4" s="1032"/>
      <c r="J4" s="1032"/>
      <c r="K4" s="1032"/>
      <c r="L4" s="139"/>
    </row>
    <row r="5" spans="1:15">
      <c r="B5" s="1032" t="s">
        <v>535</v>
      </c>
      <c r="C5" s="1032"/>
      <c r="D5" s="1032"/>
      <c r="E5" s="1032"/>
      <c r="F5" s="1032"/>
      <c r="G5" s="1032"/>
      <c r="H5" s="1032"/>
      <c r="I5" s="1032"/>
      <c r="J5" s="1032"/>
      <c r="K5" s="1032"/>
      <c r="L5" s="139"/>
    </row>
    <row r="6" spans="1:15">
      <c r="B6" s="1033" t="s">
        <v>1</v>
      </c>
      <c r="C6" s="1033"/>
      <c r="D6" s="1033"/>
      <c r="E6" s="1033"/>
      <c r="F6" s="1033"/>
      <c r="G6" s="1033"/>
      <c r="H6" s="1033"/>
      <c r="I6" s="1033"/>
      <c r="J6" s="1033"/>
      <c r="K6" s="1033"/>
      <c r="L6" s="139"/>
    </row>
    <row r="7" spans="1:15" ht="16" thickBot="1">
      <c r="D7" s="573"/>
      <c r="E7" s="573"/>
      <c r="F7" s="573"/>
      <c r="G7" s="776"/>
      <c r="H7" s="776"/>
      <c r="I7" s="776"/>
      <c r="J7" s="776"/>
      <c r="K7" s="573"/>
      <c r="N7" s="128"/>
    </row>
    <row r="8" spans="1:15">
      <c r="A8" s="139"/>
      <c r="B8" s="574"/>
      <c r="C8" s="140"/>
      <c r="D8" s="575" t="s">
        <v>7</v>
      </c>
      <c r="E8" s="141" t="s">
        <v>8</v>
      </c>
      <c r="F8" s="575" t="s">
        <v>192</v>
      </c>
      <c r="G8" s="777"/>
      <c r="H8" s="781" t="s">
        <v>10</v>
      </c>
      <c r="I8" s="762"/>
      <c r="J8" s="762" t="s">
        <v>555</v>
      </c>
      <c r="K8" s="576"/>
      <c r="L8" s="139"/>
    </row>
    <row r="9" spans="1:15">
      <c r="A9" s="142" t="s">
        <v>2</v>
      </c>
      <c r="B9" s="143" t="s">
        <v>191</v>
      </c>
      <c r="C9" s="144"/>
      <c r="D9" s="145" t="s">
        <v>4</v>
      </c>
      <c r="E9" s="139" t="s">
        <v>193</v>
      </c>
      <c r="F9" s="145" t="s">
        <v>4</v>
      </c>
      <c r="G9" s="778"/>
      <c r="H9" s="782" t="s">
        <v>563</v>
      </c>
      <c r="I9" s="783"/>
      <c r="J9" s="763" t="s">
        <v>744</v>
      </c>
      <c r="K9" s="146"/>
      <c r="L9" s="142" t="s">
        <v>2</v>
      </c>
    </row>
    <row r="10" spans="1:15" ht="16" thickBot="1">
      <c r="A10" s="142" t="s">
        <v>3</v>
      </c>
      <c r="B10" s="147" t="s">
        <v>194</v>
      </c>
      <c r="C10" s="577" t="s">
        <v>114</v>
      </c>
      <c r="D10" s="148" t="s">
        <v>195</v>
      </c>
      <c r="E10" s="577" t="s">
        <v>196</v>
      </c>
      <c r="F10" s="148" t="s">
        <v>197</v>
      </c>
      <c r="G10" s="779"/>
      <c r="H10" s="784" t="s">
        <v>743</v>
      </c>
      <c r="I10" s="785"/>
      <c r="J10" s="785" t="s">
        <v>745</v>
      </c>
      <c r="K10" s="149" t="s">
        <v>5</v>
      </c>
      <c r="L10" s="142" t="s">
        <v>3</v>
      </c>
      <c r="M10" s="142"/>
    </row>
    <row r="11" spans="1:15">
      <c r="B11" s="150"/>
      <c r="C11" s="151" t="s">
        <v>201</v>
      </c>
      <c r="D11" s="125"/>
      <c r="E11" s="152"/>
      <c r="F11" s="153"/>
      <c r="G11" s="780"/>
      <c r="H11" s="780"/>
      <c r="I11" s="786"/>
      <c r="J11" s="791"/>
      <c r="K11" s="154"/>
    </row>
    <row r="12" spans="1:15">
      <c r="A12" s="142">
        <v>1</v>
      </c>
      <c r="B12" s="150">
        <v>920</v>
      </c>
      <c r="C12" s="155" t="s">
        <v>202</v>
      </c>
      <c r="D12" s="124">
        <v>36248.331859999998</v>
      </c>
      <c r="E12" s="124">
        <v>0</v>
      </c>
      <c r="F12" s="124">
        <f>D12-E12</f>
        <v>36248.331859999998</v>
      </c>
      <c r="G12" s="349"/>
      <c r="H12" s="349"/>
      <c r="I12" s="127"/>
      <c r="J12" s="766">
        <f>F12+H12</f>
        <v>36248.331859999998</v>
      </c>
      <c r="K12" s="133" t="s">
        <v>203</v>
      </c>
      <c r="L12" s="142">
        <f>A12</f>
        <v>1</v>
      </c>
      <c r="M12" s="138" t="s">
        <v>6</v>
      </c>
      <c r="N12" s="122"/>
    </row>
    <row r="13" spans="1:15" ht="17">
      <c r="A13" s="142">
        <f t="shared" ref="A13:A59" si="0">A12+1</f>
        <v>2</v>
      </c>
      <c r="B13" s="143">
        <v>921</v>
      </c>
      <c r="C13" s="155" t="s">
        <v>204</v>
      </c>
      <c r="D13" s="125">
        <v>7641.1020099999996</v>
      </c>
      <c r="E13" s="134">
        <f>E35</f>
        <v>0</v>
      </c>
      <c r="F13" s="125">
        <f>D13-E13</f>
        <v>7641.1020099999996</v>
      </c>
      <c r="G13" s="671" t="s">
        <v>460</v>
      </c>
      <c r="H13" s="503">
        <v>-462.197</v>
      </c>
      <c r="I13" s="787">
        <v>5</v>
      </c>
      <c r="J13" s="797">
        <f>F13+H13</f>
        <v>7178.9050099999995</v>
      </c>
      <c r="K13" s="133" t="s">
        <v>205</v>
      </c>
      <c r="L13" s="142">
        <f t="shared" ref="L13:L59" si="1">L12+1</f>
        <v>2</v>
      </c>
      <c r="N13" s="122"/>
      <c r="O13" s="156"/>
    </row>
    <row r="14" spans="1:15" ht="16.5">
      <c r="A14" s="142">
        <f t="shared" si="0"/>
        <v>3</v>
      </c>
      <c r="B14" s="143">
        <v>922</v>
      </c>
      <c r="C14" s="155" t="s">
        <v>206</v>
      </c>
      <c r="D14" s="125">
        <v>-7634.7186500000007</v>
      </c>
      <c r="E14" s="134">
        <v>0</v>
      </c>
      <c r="F14" s="125">
        <f>D14-E14</f>
        <v>-7634.7186500000007</v>
      </c>
      <c r="G14" s="671" t="s">
        <v>460</v>
      </c>
      <c r="H14" s="503">
        <v>-2350</v>
      </c>
      <c r="I14" s="788">
        <v>2</v>
      </c>
      <c r="J14" s="797">
        <f t="shared" ref="J14:J25" si="2">F14+H14</f>
        <v>-9984.7186500000007</v>
      </c>
      <c r="K14" s="133" t="s">
        <v>207</v>
      </c>
      <c r="L14" s="142">
        <f t="shared" si="1"/>
        <v>3</v>
      </c>
      <c r="N14" s="122"/>
    </row>
    <row r="15" spans="1:15" ht="17">
      <c r="A15" s="142">
        <f t="shared" si="0"/>
        <v>4</v>
      </c>
      <c r="B15" s="143">
        <v>923</v>
      </c>
      <c r="C15" s="155" t="s">
        <v>208</v>
      </c>
      <c r="D15" s="125">
        <v>83058.368900000001</v>
      </c>
      <c r="E15" s="134">
        <v>0</v>
      </c>
      <c r="F15" s="125">
        <f>D15-E15</f>
        <v>83058.368900000001</v>
      </c>
      <c r="G15" s="671" t="s">
        <v>460</v>
      </c>
      <c r="H15" s="769">
        <v>1267.24</v>
      </c>
      <c r="I15" s="787">
        <v>3</v>
      </c>
      <c r="J15" s="797">
        <f t="shared" si="2"/>
        <v>84325.608900000007</v>
      </c>
      <c r="K15" s="133" t="s">
        <v>209</v>
      </c>
      <c r="L15" s="142">
        <f t="shared" si="1"/>
        <v>4</v>
      </c>
      <c r="N15" s="122"/>
    </row>
    <row r="16" spans="1:15">
      <c r="A16" s="142">
        <f t="shared" si="0"/>
        <v>5</v>
      </c>
      <c r="B16" s="150">
        <v>924</v>
      </c>
      <c r="C16" s="155" t="s">
        <v>210</v>
      </c>
      <c r="D16" s="125">
        <v>5391.9716699999999</v>
      </c>
      <c r="E16" s="134">
        <v>0</v>
      </c>
      <c r="F16" s="125">
        <f t="shared" ref="F16:F17" si="3">D16-E16</f>
        <v>5391.9716699999999</v>
      </c>
      <c r="G16" s="134"/>
      <c r="H16" s="134"/>
      <c r="I16" s="789"/>
      <c r="J16" s="765">
        <f t="shared" si="2"/>
        <v>5391.9716699999999</v>
      </c>
      <c r="K16" s="133" t="s">
        <v>211</v>
      </c>
      <c r="L16" s="142">
        <f t="shared" si="1"/>
        <v>5</v>
      </c>
      <c r="N16" s="122"/>
    </row>
    <row r="17" spans="1:14">
      <c r="A17" s="142">
        <f t="shared" si="0"/>
        <v>6</v>
      </c>
      <c r="B17" s="150">
        <v>925</v>
      </c>
      <c r="C17" s="155" t="s">
        <v>212</v>
      </c>
      <c r="D17" s="125">
        <v>95755.199519999995</v>
      </c>
      <c r="E17" s="134">
        <f>E36</f>
        <v>83.285070000000005</v>
      </c>
      <c r="F17" s="125">
        <f t="shared" si="3"/>
        <v>95671.914449999997</v>
      </c>
      <c r="G17" s="134"/>
      <c r="H17" s="134"/>
      <c r="I17" s="789"/>
      <c r="J17" s="765">
        <f t="shared" si="2"/>
        <v>95671.914449999997</v>
      </c>
      <c r="K17" s="133" t="s">
        <v>213</v>
      </c>
      <c r="L17" s="142">
        <f t="shared" si="1"/>
        <v>6</v>
      </c>
      <c r="N17" s="122"/>
    </row>
    <row r="18" spans="1:14">
      <c r="A18" s="142">
        <f t="shared" si="0"/>
        <v>7</v>
      </c>
      <c r="B18" s="150">
        <v>926</v>
      </c>
      <c r="C18" s="155" t="s">
        <v>214</v>
      </c>
      <c r="D18" s="125">
        <v>40059.178220000002</v>
      </c>
      <c r="E18" s="134">
        <f>E37</f>
        <v>177.11483000000001</v>
      </c>
      <c r="F18" s="125">
        <f>D18-E18</f>
        <v>39882.063390000003</v>
      </c>
      <c r="G18" s="134"/>
      <c r="H18" s="134"/>
      <c r="I18" s="789"/>
      <c r="J18" s="765">
        <f t="shared" si="2"/>
        <v>39882.063390000003</v>
      </c>
      <c r="K18" s="133" t="s">
        <v>215</v>
      </c>
      <c r="L18" s="142">
        <f t="shared" si="1"/>
        <v>7</v>
      </c>
      <c r="N18" s="157"/>
    </row>
    <row r="19" spans="1:14">
      <c r="A19" s="142">
        <f t="shared" si="0"/>
        <v>8</v>
      </c>
      <c r="B19" s="150">
        <v>927</v>
      </c>
      <c r="C19" s="155" t="s">
        <v>216</v>
      </c>
      <c r="D19" s="125">
        <v>120400.69545999999</v>
      </c>
      <c r="E19" s="134">
        <f>E38</f>
        <v>120400.69545999999</v>
      </c>
      <c r="F19" s="125">
        <f t="shared" ref="F19:F21" si="4">D19-E19</f>
        <v>0</v>
      </c>
      <c r="G19" s="134"/>
      <c r="H19" s="134"/>
      <c r="I19" s="789"/>
      <c r="J19" s="765">
        <f t="shared" si="2"/>
        <v>0</v>
      </c>
      <c r="K19" s="133" t="s">
        <v>217</v>
      </c>
      <c r="L19" s="142">
        <f t="shared" si="1"/>
        <v>8</v>
      </c>
      <c r="N19" s="157"/>
    </row>
    <row r="20" spans="1:14" ht="17">
      <c r="A20" s="142">
        <f t="shared" si="0"/>
        <v>9</v>
      </c>
      <c r="B20" s="143">
        <v>928</v>
      </c>
      <c r="C20" s="155" t="s">
        <v>218</v>
      </c>
      <c r="D20" s="125">
        <v>18404.989890000001</v>
      </c>
      <c r="E20" s="134">
        <f>E43</f>
        <v>8723.0720700000002</v>
      </c>
      <c r="F20" s="125">
        <f t="shared" si="4"/>
        <v>9681.9178200000006</v>
      </c>
      <c r="G20" s="671" t="s">
        <v>460</v>
      </c>
      <c r="H20" s="769">
        <v>216.41300000000001</v>
      </c>
      <c r="I20" s="787">
        <v>4</v>
      </c>
      <c r="J20" s="797">
        <f t="shared" si="2"/>
        <v>9898.330820000001</v>
      </c>
      <c r="K20" s="133" t="s">
        <v>219</v>
      </c>
      <c r="L20" s="142">
        <f t="shared" si="1"/>
        <v>9</v>
      </c>
      <c r="N20" s="157"/>
    </row>
    <row r="21" spans="1:14">
      <c r="A21" s="142">
        <f t="shared" si="0"/>
        <v>10</v>
      </c>
      <c r="B21" s="150">
        <v>929</v>
      </c>
      <c r="C21" s="155" t="s">
        <v>220</v>
      </c>
      <c r="D21" s="125">
        <v>-2220.7239900000004</v>
      </c>
      <c r="E21" s="134">
        <v>0</v>
      </c>
      <c r="F21" s="125">
        <f t="shared" si="4"/>
        <v>-2220.7239900000004</v>
      </c>
      <c r="G21" s="134"/>
      <c r="H21" s="134"/>
      <c r="I21" s="764"/>
      <c r="J21" s="765">
        <f t="shared" si="2"/>
        <v>-2220.7239900000004</v>
      </c>
      <c r="K21" s="133" t="s">
        <v>221</v>
      </c>
      <c r="L21" s="142">
        <f t="shared" si="1"/>
        <v>10</v>
      </c>
      <c r="N21" s="122"/>
    </row>
    <row r="22" spans="1:14">
      <c r="A22" s="142">
        <f t="shared" si="0"/>
        <v>11</v>
      </c>
      <c r="B22" s="158">
        <v>930.1</v>
      </c>
      <c r="C22" s="155" t="s">
        <v>222</v>
      </c>
      <c r="D22" s="125">
        <v>192.75449</v>
      </c>
      <c r="E22" s="134">
        <f>E44</f>
        <v>192.75449</v>
      </c>
      <c r="F22" s="125">
        <f>D22-E22</f>
        <v>0</v>
      </c>
      <c r="G22" s="134"/>
      <c r="H22" s="134"/>
      <c r="I22" s="764"/>
      <c r="J22" s="765">
        <f t="shared" si="2"/>
        <v>0</v>
      </c>
      <c r="K22" s="133" t="s">
        <v>223</v>
      </c>
      <c r="L22" s="142">
        <f t="shared" si="1"/>
        <v>11</v>
      </c>
      <c r="N22" s="122"/>
    </row>
    <row r="23" spans="1:14" ht="17">
      <c r="A23" s="142">
        <f t="shared" si="0"/>
        <v>12</v>
      </c>
      <c r="B23" s="798">
        <v>930.2</v>
      </c>
      <c r="C23" s="155" t="s">
        <v>224</v>
      </c>
      <c r="D23" s="125">
        <v>7233.07431</v>
      </c>
      <c r="E23" s="134">
        <f>E46</f>
        <v>-77.453050000000005</v>
      </c>
      <c r="F23" s="125">
        <f t="shared" ref="F23" si="5">D23-E23</f>
        <v>7310.52736</v>
      </c>
      <c r="G23" s="671" t="s">
        <v>460</v>
      </c>
      <c r="H23" s="503">
        <v>-205.828</v>
      </c>
      <c r="I23" s="787">
        <v>5</v>
      </c>
      <c r="J23" s="797">
        <f t="shared" si="2"/>
        <v>7104.6993599999996</v>
      </c>
      <c r="K23" s="133" t="s">
        <v>225</v>
      </c>
      <c r="L23" s="142">
        <f t="shared" si="1"/>
        <v>12</v>
      </c>
      <c r="N23" s="159"/>
    </row>
    <row r="24" spans="1:14">
      <c r="A24" s="142">
        <f t="shared" si="0"/>
        <v>13</v>
      </c>
      <c r="B24" s="150">
        <v>931</v>
      </c>
      <c r="C24" s="155" t="s">
        <v>198</v>
      </c>
      <c r="D24" s="125">
        <v>11960.795340000001</v>
      </c>
      <c r="E24" s="134">
        <v>0</v>
      </c>
      <c r="F24" s="125">
        <f>D24-E24</f>
        <v>11960.795340000001</v>
      </c>
      <c r="G24" s="134"/>
      <c r="H24" s="134"/>
      <c r="I24" s="764"/>
      <c r="J24" s="765">
        <f t="shared" si="2"/>
        <v>11960.795340000001</v>
      </c>
      <c r="K24" s="133" t="s">
        <v>226</v>
      </c>
      <c r="L24" s="142">
        <f t="shared" si="1"/>
        <v>13</v>
      </c>
      <c r="N24" s="122"/>
    </row>
    <row r="25" spans="1:14">
      <c r="A25" s="142">
        <f t="shared" si="0"/>
        <v>14</v>
      </c>
      <c r="B25" s="150">
        <v>935</v>
      </c>
      <c r="C25" s="155" t="s">
        <v>227</v>
      </c>
      <c r="D25" s="355">
        <v>9138.2105500000016</v>
      </c>
      <c r="E25" s="528">
        <f>E48</f>
        <v>70.022660000000002</v>
      </c>
      <c r="F25" s="355">
        <f>D25-E25</f>
        <v>9068.1878900000011</v>
      </c>
      <c r="G25" s="767"/>
      <c r="H25" s="528"/>
      <c r="I25" s="310"/>
      <c r="J25" s="355">
        <f t="shared" si="2"/>
        <v>9068.1878900000011</v>
      </c>
      <c r="K25" s="133" t="s">
        <v>228</v>
      </c>
      <c r="L25" s="142">
        <f t="shared" si="1"/>
        <v>14</v>
      </c>
      <c r="M25" s="138" t="s">
        <v>6</v>
      </c>
      <c r="N25" s="122"/>
    </row>
    <row r="26" spans="1:14">
      <c r="A26" s="142">
        <f t="shared" si="0"/>
        <v>15</v>
      </c>
      <c r="B26" s="150"/>
      <c r="D26" s="160"/>
      <c r="F26" s="160"/>
      <c r="I26" s="790"/>
      <c r="J26" s="792"/>
      <c r="K26" s="161"/>
      <c r="L26" s="142">
        <f t="shared" si="1"/>
        <v>15</v>
      </c>
    </row>
    <row r="27" spans="1:14" ht="16" thickBot="1">
      <c r="A27" s="142">
        <f t="shared" si="0"/>
        <v>16</v>
      </c>
      <c r="B27" s="150"/>
      <c r="C27" s="144" t="s">
        <v>229</v>
      </c>
      <c r="D27" s="162">
        <f>SUM(D12:D25)</f>
        <v>425629.22958000004</v>
      </c>
      <c r="E27" s="578">
        <f>SUM(E12:E25)</f>
        <v>129569.49153</v>
      </c>
      <c r="F27" s="135">
        <f>SUM(F12:F25)</f>
        <v>296059.73804999999</v>
      </c>
      <c r="G27" s="772" t="s">
        <v>460</v>
      </c>
      <c r="H27" s="768">
        <f>SUM(H12:H25)</f>
        <v>-1534.3720000000001</v>
      </c>
      <c r="I27" s="578"/>
      <c r="J27" s="135">
        <f>SUM(J12:J25)</f>
        <v>294525.36605000001</v>
      </c>
      <c r="K27" s="163" t="s">
        <v>560</v>
      </c>
      <c r="L27" s="142">
        <f t="shared" si="1"/>
        <v>16</v>
      </c>
    </row>
    <row r="28" spans="1:14" ht="16" thickTop="1">
      <c r="A28" s="142">
        <f t="shared" si="0"/>
        <v>17</v>
      </c>
      <c r="B28" s="150"/>
      <c r="C28" s="144"/>
      <c r="D28" s="130"/>
      <c r="E28" s="120"/>
      <c r="F28" s="136"/>
      <c r="G28" s="761"/>
      <c r="H28" s="761"/>
      <c r="I28" s="120"/>
      <c r="J28" s="771"/>
      <c r="K28" s="163"/>
      <c r="L28" s="142">
        <f t="shared" si="1"/>
        <v>17</v>
      </c>
    </row>
    <row r="29" spans="1:14" ht="18">
      <c r="A29" s="142">
        <f t="shared" si="0"/>
        <v>18</v>
      </c>
      <c r="B29" s="150">
        <v>413</v>
      </c>
      <c r="C29" s="138" t="s">
        <v>230</v>
      </c>
      <c r="D29" s="564">
        <v>587.12900000000002</v>
      </c>
      <c r="E29" s="310">
        <v>0</v>
      </c>
      <c r="F29" s="355">
        <f>D29-E29</f>
        <v>587.12900000000002</v>
      </c>
      <c r="G29" s="767"/>
      <c r="H29" s="528"/>
      <c r="I29" s="310"/>
      <c r="J29" s="355">
        <f t="shared" ref="J29" si="6">F29+H29</f>
        <v>587.12900000000002</v>
      </c>
      <c r="K29" s="163" t="s">
        <v>561</v>
      </c>
      <c r="L29" s="142">
        <f t="shared" si="1"/>
        <v>18</v>
      </c>
    </row>
    <row r="30" spans="1:14">
      <c r="A30" s="142">
        <f t="shared" si="0"/>
        <v>19</v>
      </c>
      <c r="B30" s="150"/>
      <c r="C30" s="144"/>
      <c r="D30" s="130"/>
      <c r="E30" s="120"/>
      <c r="F30" s="136"/>
      <c r="G30" s="761"/>
      <c r="H30" s="761"/>
      <c r="I30" s="120"/>
      <c r="J30" s="771"/>
      <c r="K30" s="163"/>
      <c r="L30" s="142">
        <f t="shared" si="1"/>
        <v>19</v>
      </c>
    </row>
    <row r="31" spans="1:14" ht="16" thickBot="1">
      <c r="A31" s="142">
        <f t="shared" si="0"/>
        <v>20</v>
      </c>
      <c r="B31" s="150"/>
      <c r="C31" s="144" t="s">
        <v>231</v>
      </c>
      <c r="D31" s="162">
        <f>D27+D29</f>
        <v>426216.35858000006</v>
      </c>
      <c r="E31" s="120">
        <f>E27+E29</f>
        <v>129569.49153</v>
      </c>
      <c r="F31" s="136">
        <f>F27+F29</f>
        <v>296646.86705</v>
      </c>
      <c r="G31" s="772" t="s">
        <v>460</v>
      </c>
      <c r="H31" s="768">
        <f>H27+H29</f>
        <v>-1534.3720000000001</v>
      </c>
      <c r="I31" s="578"/>
      <c r="J31" s="135">
        <f>J27+J29</f>
        <v>295112.49505000003</v>
      </c>
      <c r="K31" s="163" t="s">
        <v>562</v>
      </c>
      <c r="L31" s="142">
        <f t="shared" si="1"/>
        <v>20</v>
      </c>
    </row>
    <row r="32" spans="1:14" ht="16.5" thickTop="1" thickBot="1">
      <c r="A32" s="142">
        <f t="shared" si="0"/>
        <v>21</v>
      </c>
      <c r="B32" s="164"/>
      <c r="C32" s="573"/>
      <c r="D32" s="165"/>
      <c r="E32" s="166"/>
      <c r="F32" s="166"/>
      <c r="G32" s="793"/>
      <c r="H32" s="794"/>
      <c r="I32" s="795"/>
      <c r="J32" s="796"/>
      <c r="K32" s="167"/>
      <c r="L32" s="142">
        <f t="shared" si="1"/>
        <v>21</v>
      </c>
    </row>
    <row r="33" spans="1:14">
      <c r="A33" s="142">
        <f t="shared" si="0"/>
        <v>22</v>
      </c>
      <c r="B33" s="168"/>
      <c r="D33" s="169"/>
      <c r="E33" s="170"/>
      <c r="F33" s="169"/>
      <c r="G33" s="169"/>
      <c r="H33" s="169"/>
      <c r="I33" s="169"/>
      <c r="J33" s="169"/>
      <c r="K33" s="161"/>
      <c r="L33" s="142">
        <f t="shared" si="1"/>
        <v>22</v>
      </c>
    </row>
    <row r="34" spans="1:14">
      <c r="A34" s="142">
        <f t="shared" si="0"/>
        <v>23</v>
      </c>
      <c r="B34" s="171" t="s">
        <v>232</v>
      </c>
      <c r="C34" s="142"/>
      <c r="D34" s="142"/>
      <c r="E34" s="142"/>
      <c r="F34" s="142"/>
      <c r="G34" s="142"/>
      <c r="H34" s="142"/>
      <c r="I34" s="142"/>
      <c r="J34" s="142"/>
      <c r="K34" s="161"/>
      <c r="L34" s="142">
        <f t="shared" si="1"/>
        <v>23</v>
      </c>
    </row>
    <row r="35" spans="1:14">
      <c r="A35" s="163">
        <f t="shared" si="0"/>
        <v>24</v>
      </c>
      <c r="B35" s="490">
        <v>925</v>
      </c>
      <c r="C35" s="489" t="s">
        <v>233</v>
      </c>
      <c r="D35" s="624">
        <v>83.285070000000005</v>
      </c>
      <c r="E35" s="625"/>
      <c r="F35" s="142"/>
      <c r="G35" s="142"/>
      <c r="H35" s="142"/>
      <c r="I35" s="142"/>
      <c r="J35" s="142"/>
      <c r="K35" s="161"/>
      <c r="L35" s="142">
        <f t="shared" si="1"/>
        <v>24</v>
      </c>
    </row>
    <row r="36" spans="1:14">
      <c r="A36" s="142">
        <f t="shared" si="0"/>
        <v>25</v>
      </c>
      <c r="B36" s="487"/>
      <c r="C36" s="489" t="s">
        <v>212</v>
      </c>
      <c r="D36" s="637">
        <v>0</v>
      </c>
      <c r="E36" s="626">
        <v>83.285070000000005</v>
      </c>
      <c r="F36" s="142"/>
      <c r="G36" s="142"/>
      <c r="H36" s="142"/>
      <c r="I36" s="142"/>
      <c r="J36" s="142"/>
      <c r="K36" s="161"/>
      <c r="L36" s="142">
        <f t="shared" si="1"/>
        <v>25</v>
      </c>
    </row>
    <row r="37" spans="1:14">
      <c r="A37" s="142">
        <f t="shared" si="0"/>
        <v>26</v>
      </c>
      <c r="B37" s="487">
        <v>926</v>
      </c>
      <c r="C37" s="491" t="s">
        <v>233</v>
      </c>
      <c r="D37" s="627"/>
      <c r="E37" s="225">
        <v>177.11483000000001</v>
      </c>
      <c r="F37" s="142"/>
      <c r="G37" s="142"/>
      <c r="H37" s="142"/>
      <c r="I37" s="142"/>
      <c r="J37" s="142"/>
      <c r="K37" s="161"/>
      <c r="L37" s="142">
        <f t="shared" si="1"/>
        <v>26</v>
      </c>
    </row>
    <row r="38" spans="1:14">
      <c r="A38" s="142">
        <f t="shared" si="0"/>
        <v>27</v>
      </c>
      <c r="B38" s="487">
        <v>927</v>
      </c>
      <c r="C38" s="491" t="s">
        <v>216</v>
      </c>
      <c r="D38" s="627"/>
      <c r="E38" s="225">
        <v>120400.69545999999</v>
      </c>
      <c r="F38" s="142"/>
      <c r="G38" s="142"/>
      <c r="H38" s="142"/>
      <c r="I38" s="142"/>
      <c r="J38" s="142"/>
      <c r="K38" s="161"/>
      <c r="L38" s="142">
        <f t="shared" si="1"/>
        <v>27</v>
      </c>
    </row>
    <row r="39" spans="1:14">
      <c r="A39" s="142">
        <f t="shared" si="0"/>
        <v>28</v>
      </c>
      <c r="B39" s="487">
        <v>928</v>
      </c>
      <c r="C39" s="491" t="s">
        <v>233</v>
      </c>
      <c r="D39" s="628">
        <v>0</v>
      </c>
      <c r="E39" s="627"/>
      <c r="K39" s="161"/>
      <c r="L39" s="142">
        <f t="shared" si="1"/>
        <v>28</v>
      </c>
      <c r="N39" s="155"/>
    </row>
    <row r="40" spans="1:14">
      <c r="A40" s="142">
        <f t="shared" si="0"/>
        <v>29</v>
      </c>
      <c r="B40" s="487"/>
      <c r="C40" s="491" t="s">
        <v>234</v>
      </c>
      <c r="D40" s="628">
        <v>0</v>
      </c>
      <c r="E40" s="629"/>
      <c r="K40" s="161"/>
      <c r="L40" s="142">
        <f t="shared" si="1"/>
        <v>29</v>
      </c>
    </row>
    <row r="41" spans="1:14">
      <c r="A41" s="142">
        <f t="shared" si="0"/>
        <v>30</v>
      </c>
      <c r="B41" s="487"/>
      <c r="C41" s="491" t="s">
        <v>235</v>
      </c>
      <c r="D41" s="488">
        <v>590.93499999999995</v>
      </c>
      <c r="E41" s="629"/>
      <c r="K41" s="161"/>
      <c r="L41" s="142">
        <f t="shared" si="1"/>
        <v>30</v>
      </c>
    </row>
    <row r="42" spans="1:14">
      <c r="A42" s="142">
        <f t="shared" si="0"/>
        <v>31</v>
      </c>
      <c r="B42" s="487"/>
      <c r="C42" s="489" t="s">
        <v>236</v>
      </c>
      <c r="D42" s="488">
        <v>8069.99107</v>
      </c>
      <c r="E42" s="488"/>
      <c r="K42" s="161"/>
      <c r="L42" s="142">
        <f t="shared" si="1"/>
        <v>31</v>
      </c>
    </row>
    <row r="43" spans="1:14">
      <c r="A43" s="142">
        <f t="shared" si="0"/>
        <v>32</v>
      </c>
      <c r="B43" s="487"/>
      <c r="C43" s="489" t="s">
        <v>237</v>
      </c>
      <c r="D43" s="572">
        <v>62.146000000000001</v>
      </c>
      <c r="E43" s="303">
        <v>8723.0720700000002</v>
      </c>
      <c r="K43" s="161"/>
      <c r="L43" s="142">
        <f t="shared" si="1"/>
        <v>32</v>
      </c>
    </row>
    <row r="44" spans="1:14">
      <c r="A44" s="142">
        <f t="shared" si="0"/>
        <v>33</v>
      </c>
      <c r="B44" s="630">
        <v>930.1</v>
      </c>
      <c r="C44" s="489" t="s">
        <v>222</v>
      </c>
      <c r="D44" s="627"/>
      <c r="E44" s="303">
        <v>192.75449</v>
      </c>
      <c r="K44" s="161"/>
      <c r="L44" s="142">
        <f t="shared" si="1"/>
        <v>33</v>
      </c>
    </row>
    <row r="45" spans="1:14">
      <c r="A45" s="142">
        <f t="shared" si="0"/>
        <v>34</v>
      </c>
      <c r="B45" s="631">
        <v>930.2</v>
      </c>
      <c r="C45" s="491" t="s">
        <v>238</v>
      </c>
      <c r="D45" s="634">
        <v>0</v>
      </c>
      <c r="E45" s="495"/>
      <c r="F45" s="172"/>
      <c r="G45" s="172"/>
      <c r="H45" s="172"/>
      <c r="I45" s="172"/>
      <c r="J45" s="172"/>
      <c r="K45" s="173"/>
      <c r="L45" s="142">
        <f t="shared" si="1"/>
        <v>34</v>
      </c>
    </row>
    <row r="46" spans="1:14">
      <c r="A46" s="142">
        <f t="shared" si="0"/>
        <v>35</v>
      </c>
      <c r="B46" s="486"/>
      <c r="C46" s="489" t="s">
        <v>239</v>
      </c>
      <c r="D46" s="635">
        <v>-77.453050000000005</v>
      </c>
      <c r="E46" s="488">
        <v>-77.453050000000005</v>
      </c>
      <c r="K46" s="161"/>
      <c r="L46" s="142">
        <f t="shared" si="1"/>
        <v>35</v>
      </c>
    </row>
    <row r="47" spans="1:14">
      <c r="A47" s="142">
        <f t="shared" si="0"/>
        <v>36</v>
      </c>
      <c r="B47" s="632">
        <v>931</v>
      </c>
      <c r="C47" s="491" t="s">
        <v>238</v>
      </c>
      <c r="D47" s="633"/>
      <c r="E47" s="493">
        <v>0</v>
      </c>
      <c r="K47" s="161"/>
      <c r="L47" s="142">
        <f t="shared" si="1"/>
        <v>36</v>
      </c>
    </row>
    <row r="48" spans="1:14">
      <c r="A48" s="142">
        <f t="shared" si="0"/>
        <v>37</v>
      </c>
      <c r="B48" s="632">
        <v>935</v>
      </c>
      <c r="C48" s="491" t="s">
        <v>240</v>
      </c>
      <c r="D48" s="636"/>
      <c r="E48" s="579">
        <v>70.022660000000002</v>
      </c>
      <c r="F48" s="172"/>
      <c r="G48" s="172"/>
      <c r="H48" s="172"/>
      <c r="I48" s="172"/>
      <c r="J48" s="172"/>
      <c r="K48" s="173"/>
      <c r="L48" s="142">
        <f t="shared" si="1"/>
        <v>37</v>
      </c>
    </row>
    <row r="49" spans="1:12">
      <c r="A49" s="142">
        <f t="shared" si="0"/>
        <v>38</v>
      </c>
      <c r="B49" s="487"/>
      <c r="C49" s="492"/>
      <c r="D49" s="494"/>
      <c r="E49" s="488"/>
      <c r="K49" s="161"/>
      <c r="L49" s="142">
        <f t="shared" si="1"/>
        <v>38</v>
      </c>
    </row>
    <row r="50" spans="1:12" ht="16" thickBot="1">
      <c r="A50" s="142">
        <f t="shared" si="0"/>
        <v>39</v>
      </c>
      <c r="B50" s="168"/>
      <c r="C50" s="174" t="s">
        <v>199</v>
      </c>
      <c r="D50" s="6"/>
      <c r="E50" s="580">
        <f>SUM(E35:E49)</f>
        <v>129569.49153</v>
      </c>
      <c r="F50" s="131"/>
      <c r="G50" s="131"/>
      <c r="H50" s="131"/>
      <c r="I50" s="131"/>
      <c r="J50" s="131"/>
      <c r="K50" s="161"/>
      <c r="L50" s="142">
        <f t="shared" si="1"/>
        <v>39</v>
      </c>
    </row>
    <row r="51" spans="1:12" ht="16" thickTop="1">
      <c r="A51" s="142">
        <f t="shared" si="0"/>
        <v>40</v>
      </c>
      <c r="B51" s="168"/>
      <c r="C51" s="174"/>
      <c r="E51" s="175"/>
      <c r="F51" s="131"/>
      <c r="G51" s="131"/>
      <c r="H51" s="131"/>
      <c r="I51" s="131"/>
      <c r="J51" s="131"/>
      <c r="K51" s="161"/>
      <c r="L51" s="142">
        <f t="shared" si="1"/>
        <v>40</v>
      </c>
    </row>
    <row r="52" spans="1:12">
      <c r="A52" s="142">
        <f t="shared" si="0"/>
        <v>41</v>
      </c>
      <c r="B52" s="168"/>
      <c r="C52" s="174"/>
      <c r="E52" s="175"/>
      <c r="F52" s="131"/>
      <c r="G52" s="131"/>
      <c r="H52" s="131"/>
      <c r="I52" s="131"/>
      <c r="J52" s="131"/>
      <c r="K52" s="161"/>
      <c r="L52" s="142">
        <f t="shared" si="1"/>
        <v>41</v>
      </c>
    </row>
    <row r="53" spans="1:12">
      <c r="A53" s="142">
        <f t="shared" si="0"/>
        <v>42</v>
      </c>
      <c r="B53" s="773" t="s">
        <v>460</v>
      </c>
      <c r="C53" s="111" t="s">
        <v>687</v>
      </c>
      <c r="E53" s="175"/>
      <c r="F53" s="131"/>
      <c r="G53" s="131"/>
      <c r="H53" s="131"/>
      <c r="I53" s="131"/>
      <c r="J53" s="131"/>
      <c r="K53" s="161"/>
      <c r="L53" s="142">
        <f t="shared" si="1"/>
        <v>42</v>
      </c>
    </row>
    <row r="54" spans="1:12" ht="18.5">
      <c r="A54" s="142">
        <f t="shared" si="0"/>
        <v>43</v>
      </c>
      <c r="B54" s="137">
        <v>1</v>
      </c>
      <c r="C54" s="80" t="s">
        <v>564</v>
      </c>
      <c r="E54" s="175"/>
      <c r="F54" s="131"/>
      <c r="G54" s="131"/>
      <c r="H54" s="131"/>
      <c r="I54" s="131"/>
      <c r="J54" s="131"/>
      <c r="K54" s="161"/>
      <c r="L54" s="142">
        <f t="shared" si="1"/>
        <v>43</v>
      </c>
    </row>
    <row r="55" spans="1:12" ht="17">
      <c r="A55" s="142">
        <f t="shared" si="0"/>
        <v>44</v>
      </c>
      <c r="B55" s="799">
        <v>2</v>
      </c>
      <c r="C55" s="1" t="s">
        <v>565</v>
      </c>
      <c r="E55" s="175"/>
      <c r="F55" s="131"/>
      <c r="G55" s="131"/>
      <c r="H55" s="131"/>
      <c r="I55" s="131"/>
      <c r="J55" s="131"/>
      <c r="K55" s="161"/>
      <c r="L55" s="142">
        <f t="shared" si="1"/>
        <v>44</v>
      </c>
    </row>
    <row r="56" spans="1:12" ht="17">
      <c r="A56" s="142">
        <f t="shared" si="0"/>
        <v>45</v>
      </c>
      <c r="B56" s="799">
        <v>3</v>
      </c>
      <c r="C56" s="1" t="s">
        <v>566</v>
      </c>
      <c r="E56" s="175"/>
      <c r="F56" s="131"/>
      <c r="G56" s="131"/>
      <c r="H56" s="131"/>
      <c r="I56" s="131"/>
      <c r="J56" s="131"/>
      <c r="K56" s="161"/>
      <c r="L56" s="142">
        <f t="shared" si="1"/>
        <v>45</v>
      </c>
    </row>
    <row r="57" spans="1:12" ht="17">
      <c r="A57" s="142">
        <f t="shared" si="0"/>
        <v>46</v>
      </c>
      <c r="B57" s="799">
        <v>4</v>
      </c>
      <c r="C57" s="1" t="s">
        <v>567</v>
      </c>
      <c r="E57" s="175"/>
      <c r="F57" s="131"/>
      <c r="G57" s="131"/>
      <c r="H57" s="131"/>
      <c r="I57" s="131"/>
      <c r="J57" s="131"/>
      <c r="K57" s="161"/>
      <c r="L57" s="142">
        <f t="shared" si="1"/>
        <v>46</v>
      </c>
    </row>
    <row r="58" spans="1:12" ht="17">
      <c r="A58" s="142">
        <f t="shared" si="0"/>
        <v>47</v>
      </c>
      <c r="B58" s="799">
        <v>5</v>
      </c>
      <c r="C58" s="1" t="s">
        <v>568</v>
      </c>
      <c r="E58" s="175"/>
      <c r="F58" s="131"/>
      <c r="G58" s="131"/>
      <c r="H58" s="131"/>
      <c r="I58" s="131"/>
      <c r="J58" s="131"/>
      <c r="K58" s="161"/>
      <c r="L58" s="142">
        <f t="shared" si="1"/>
        <v>47</v>
      </c>
    </row>
    <row r="59" spans="1:12" ht="16" thickBot="1">
      <c r="A59" s="142">
        <f t="shared" si="0"/>
        <v>48</v>
      </c>
      <c r="B59" s="176"/>
      <c r="C59" s="581"/>
      <c r="D59" s="573"/>
      <c r="E59" s="573"/>
      <c r="F59" s="573"/>
      <c r="G59" s="776"/>
      <c r="H59" s="776"/>
      <c r="I59" s="776"/>
      <c r="J59" s="776"/>
      <c r="K59" s="167"/>
      <c r="L59" s="142">
        <f t="shared" si="1"/>
        <v>48</v>
      </c>
    </row>
    <row r="60" spans="1:12">
      <c r="C60" s="155"/>
    </row>
    <row r="61" spans="1:12">
      <c r="A61" s="139"/>
      <c r="C61" s="155"/>
      <c r="D61" s="177"/>
      <c r="E61" s="177"/>
    </row>
    <row r="62" spans="1:12" ht="18">
      <c r="A62" s="178"/>
      <c r="C62" s="155"/>
    </row>
    <row r="63" spans="1:12" ht="18">
      <c r="A63" s="178"/>
      <c r="C63" s="155"/>
    </row>
    <row r="64" spans="1:12" ht="18">
      <c r="A64" s="178"/>
      <c r="C64" s="155"/>
    </row>
    <row r="65" spans="1:3" ht="18">
      <c r="A65" s="178"/>
      <c r="C65" s="155"/>
    </row>
    <row r="66" spans="1:3" ht="18">
      <c r="A66" s="178"/>
      <c r="C66" s="155"/>
    </row>
    <row r="67" spans="1:3" ht="18">
      <c r="A67" s="178"/>
      <c r="C67" s="155"/>
    </row>
    <row r="68" spans="1:3">
      <c r="A68" s="139"/>
      <c r="C68" s="155"/>
    </row>
    <row r="69" spans="1:3" ht="18">
      <c r="A69" s="178"/>
      <c r="C69" s="155"/>
    </row>
    <row r="70" spans="1:3">
      <c r="A70" s="139"/>
      <c r="C70" s="155"/>
    </row>
    <row r="71" spans="1:3" ht="18">
      <c r="A71" s="178"/>
      <c r="C71" s="155"/>
    </row>
    <row r="72" spans="1:3">
      <c r="A72" s="139"/>
      <c r="C72" s="155"/>
    </row>
    <row r="73" spans="1:3" ht="18">
      <c r="A73" s="178"/>
      <c r="C73" s="155"/>
    </row>
    <row r="74" spans="1:3" ht="18">
      <c r="A74" s="178"/>
      <c r="B74" s="155"/>
    </row>
    <row r="75" spans="1:3" ht="18">
      <c r="A75" s="178"/>
      <c r="B75" s="155"/>
    </row>
    <row r="76" spans="1:3">
      <c r="B76" s="155"/>
    </row>
    <row r="77" spans="1:3" ht="18">
      <c r="A77" s="178"/>
      <c r="B77" s="155"/>
    </row>
    <row r="78" spans="1:3">
      <c r="A78" s="179"/>
      <c r="B78" s="180"/>
    </row>
    <row r="79" spans="1:3">
      <c r="B79" s="155"/>
    </row>
  </sheetData>
  <mergeCells count="4">
    <mergeCell ref="B3:K3"/>
    <mergeCell ref="B4:K4"/>
    <mergeCell ref="B5:K5"/>
    <mergeCell ref="B6:K6"/>
  </mergeCells>
  <printOptions horizontalCentered="1"/>
  <pageMargins left="0.5" right="0.5" top="0.5" bottom="0.5" header="0.35" footer="0.25"/>
  <pageSetup scale="47" orientation="portrait" r:id="rId1"/>
  <headerFooter scaleWithDoc="0" alignWithMargins="0">
    <oddHeader>&amp;C&amp;"Times New Roman,Bold"&amp;6AS FILED AH-3 WITH FERC AUDIT ADJ INCL IN APPENDIX X CYCLE 12 (ER24-176)</oddHeader>
    <oddFooter>&amp;L&amp;F&amp;CPage 9.3&amp;R&amp;A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C98B-8E19-49AC-9701-DC6C403D6481}">
  <sheetPr>
    <pageSetUpPr fitToPage="1"/>
  </sheetPr>
  <dimension ref="A1:L35"/>
  <sheetViews>
    <sheetView zoomScale="80" zoomScaleNormal="80" workbookViewId="0"/>
  </sheetViews>
  <sheetFormatPr defaultColWidth="8.81640625" defaultRowHeight="15.5"/>
  <cols>
    <col min="1" max="1" width="5.1796875" style="112" bestFit="1" customWidth="1"/>
    <col min="2" max="2" width="68.81640625" style="114" customWidth="1"/>
    <col min="3" max="3" width="24" style="185" customWidth="1"/>
    <col min="4" max="4" width="1.54296875" style="114" customWidth="1"/>
    <col min="5" max="5" width="16.81640625" style="114" customWidth="1"/>
    <col min="6" max="6" width="1.54296875" style="114" customWidth="1"/>
    <col min="7" max="7" width="16.81640625" style="114" customWidth="1"/>
    <col min="8" max="8" width="1.54296875" style="114" customWidth="1"/>
    <col min="9" max="9" width="36.1796875" style="114" customWidth="1"/>
    <col min="10" max="10" width="5.1796875" style="114" customWidth="1"/>
    <col min="11" max="16384" width="8.81640625" style="114"/>
  </cols>
  <sheetData>
    <row r="1" spans="1:10">
      <c r="A1" s="496"/>
      <c r="H1" s="112"/>
      <c r="I1" s="112"/>
      <c r="J1" s="112"/>
    </row>
    <row r="2" spans="1:10">
      <c r="B2" s="1034" t="s">
        <v>0</v>
      </c>
      <c r="C2" s="1035"/>
      <c r="D2" s="1035"/>
      <c r="E2" s="1035"/>
      <c r="F2" s="1035"/>
      <c r="G2" s="1035"/>
      <c r="H2" s="1035"/>
      <c r="I2" s="1035"/>
      <c r="J2" s="110"/>
    </row>
    <row r="3" spans="1:10">
      <c r="B3" s="1034" t="s">
        <v>242</v>
      </c>
      <c r="C3" s="1035"/>
      <c r="D3" s="1035"/>
      <c r="E3" s="1035"/>
      <c r="F3" s="1035"/>
      <c r="G3" s="1035"/>
      <c r="H3" s="1035"/>
      <c r="I3" s="1035"/>
      <c r="J3" s="110"/>
    </row>
    <row r="4" spans="1:10">
      <c r="B4" s="1034" t="s">
        <v>99</v>
      </c>
      <c r="C4" s="1035"/>
      <c r="D4" s="1035"/>
      <c r="E4" s="1035"/>
      <c r="F4" s="1035"/>
      <c r="G4" s="1035"/>
      <c r="H4" s="1035"/>
      <c r="I4" s="1035"/>
      <c r="J4" s="110"/>
    </row>
    <row r="5" spans="1:10">
      <c r="B5" s="1036" t="s">
        <v>480</v>
      </c>
      <c r="C5" s="1036"/>
      <c r="D5" s="1036"/>
      <c r="E5" s="1036"/>
      <c r="F5" s="1036"/>
      <c r="G5" s="1036"/>
      <c r="H5" s="1036"/>
      <c r="I5" s="1036"/>
      <c r="J5" s="110"/>
    </row>
    <row r="6" spans="1:10">
      <c r="B6" s="1037" t="s">
        <v>1</v>
      </c>
      <c r="C6" s="1037"/>
      <c r="D6" s="1037"/>
      <c r="E6" s="1037"/>
      <c r="F6" s="1037"/>
      <c r="G6" s="1037"/>
      <c r="H6" s="1037"/>
      <c r="I6" s="1037"/>
      <c r="J6" s="111"/>
    </row>
    <row r="7" spans="1:10">
      <c r="B7" s="112"/>
      <c r="D7" s="112"/>
      <c r="E7" s="112"/>
      <c r="F7" s="112"/>
      <c r="G7" s="112"/>
      <c r="H7" s="110"/>
      <c r="I7" s="110"/>
      <c r="J7" s="110"/>
    </row>
    <row r="8" spans="1:10">
      <c r="A8" s="112" t="s">
        <v>2</v>
      </c>
      <c r="B8" s="110"/>
      <c r="C8" s="132" t="s">
        <v>147</v>
      </c>
      <c r="D8" s="112"/>
      <c r="E8" s="112" t="s">
        <v>243</v>
      </c>
      <c r="F8" s="112"/>
      <c r="G8" s="112" t="s">
        <v>244</v>
      </c>
      <c r="H8" s="110"/>
      <c r="I8" s="110"/>
      <c r="J8" s="112" t="s">
        <v>2</v>
      </c>
    </row>
    <row r="9" spans="1:10">
      <c r="A9" s="112" t="s">
        <v>3</v>
      </c>
      <c r="B9" s="110"/>
      <c r="C9" s="561" t="s">
        <v>148</v>
      </c>
      <c r="D9" s="110"/>
      <c r="E9" s="562" t="s">
        <v>245</v>
      </c>
      <c r="F9" s="110"/>
      <c r="G9" s="562" t="s">
        <v>149</v>
      </c>
      <c r="H9" s="110"/>
      <c r="I9" s="563" t="s">
        <v>5</v>
      </c>
      <c r="J9" s="112" t="s">
        <v>3</v>
      </c>
    </row>
    <row r="10" spans="1:10">
      <c r="B10" s="112"/>
      <c r="D10" s="112"/>
      <c r="E10" s="112"/>
      <c r="F10" s="112"/>
      <c r="G10" s="112"/>
      <c r="H10" s="112"/>
      <c r="I10" s="112"/>
      <c r="J10" s="112"/>
    </row>
    <row r="11" spans="1:10" ht="18">
      <c r="A11" s="112">
        <v>1</v>
      </c>
      <c r="B11" s="114" t="s">
        <v>246</v>
      </c>
      <c r="C11" s="112" t="s">
        <v>247</v>
      </c>
      <c r="E11" s="186"/>
      <c r="F11" s="187"/>
      <c r="G11" s="188">
        <v>119385.43410490715</v>
      </c>
      <c r="H11" s="187"/>
      <c r="I11" s="189" t="s">
        <v>577</v>
      </c>
      <c r="J11" s="112">
        <f>A11</f>
        <v>1</v>
      </c>
    </row>
    <row r="12" spans="1:10">
      <c r="A12" s="112">
        <f>+A11+1</f>
        <v>2</v>
      </c>
      <c r="C12" s="112"/>
      <c r="E12" s="181"/>
      <c r="F12" s="190"/>
      <c r="G12" s="190"/>
      <c r="H12" s="190"/>
      <c r="I12" s="189"/>
      <c r="J12" s="112">
        <f>+J11+1</f>
        <v>2</v>
      </c>
    </row>
    <row r="13" spans="1:10">
      <c r="A13" s="112">
        <f t="shared" ref="A13:A29" si="0">+A12+1</f>
        <v>3</v>
      </c>
      <c r="B13" s="114" t="s">
        <v>248</v>
      </c>
      <c r="C13" s="112"/>
      <c r="E13" s="191"/>
      <c r="F13" s="192"/>
      <c r="G13" s="565">
        <v>0.38635877467208013</v>
      </c>
      <c r="H13" s="187"/>
      <c r="I13" s="189" t="s">
        <v>727</v>
      </c>
      <c r="J13" s="112">
        <f t="shared" ref="J13:J29" si="1">+J12+1</f>
        <v>3</v>
      </c>
    </row>
    <row r="14" spans="1:10">
      <c r="A14" s="112">
        <f t="shared" si="0"/>
        <v>4</v>
      </c>
      <c r="C14" s="112"/>
      <c r="E14" s="181"/>
      <c r="F14" s="190"/>
      <c r="G14" s="181"/>
      <c r="H14" s="190"/>
      <c r="I14" s="189"/>
      <c r="J14" s="112">
        <f t="shared" si="1"/>
        <v>4</v>
      </c>
    </row>
    <row r="15" spans="1:10" ht="16" thickBot="1">
      <c r="A15" s="112">
        <f t="shared" si="0"/>
        <v>5</v>
      </c>
      <c r="B15" s="114" t="s">
        <v>249</v>
      </c>
      <c r="C15" s="112"/>
      <c r="E15" s="193"/>
      <c r="F15" s="190"/>
      <c r="G15" s="566">
        <f>G11*G13</f>
        <v>46125.610034466292</v>
      </c>
      <c r="H15" s="671"/>
      <c r="I15" s="189" t="s">
        <v>578</v>
      </c>
      <c r="J15" s="112">
        <f t="shared" si="1"/>
        <v>5</v>
      </c>
    </row>
    <row r="16" spans="1:10" ht="16" thickTop="1">
      <c r="A16" s="112">
        <f t="shared" si="0"/>
        <v>6</v>
      </c>
      <c r="C16" s="112"/>
      <c r="E16" s="126"/>
      <c r="F16" s="112"/>
      <c r="G16" s="112"/>
      <c r="H16" s="112"/>
      <c r="I16" s="189"/>
      <c r="J16" s="112">
        <f t="shared" si="1"/>
        <v>6</v>
      </c>
    </row>
    <row r="17" spans="1:12" ht="18">
      <c r="A17" s="112">
        <f t="shared" si="0"/>
        <v>7</v>
      </c>
      <c r="B17" s="114" t="s">
        <v>250</v>
      </c>
      <c r="C17" s="112" t="s">
        <v>251</v>
      </c>
      <c r="D17" s="184"/>
      <c r="E17" s="186"/>
      <c r="F17" s="190"/>
      <c r="G17" s="582">
        <v>44443.433261584243</v>
      </c>
      <c r="H17" s="187"/>
      <c r="I17" s="189" t="s">
        <v>579</v>
      </c>
      <c r="J17" s="112">
        <f t="shared" si="1"/>
        <v>7</v>
      </c>
    </row>
    <row r="18" spans="1:12">
      <c r="A18" s="112">
        <f t="shared" si="0"/>
        <v>8</v>
      </c>
      <c r="C18" s="112"/>
      <c r="E18" s="194"/>
      <c r="F18" s="190"/>
      <c r="G18" s="190"/>
      <c r="H18" s="190"/>
      <c r="I18" s="189"/>
      <c r="J18" s="112">
        <f t="shared" si="1"/>
        <v>8</v>
      </c>
    </row>
    <row r="19" spans="1:12" ht="16" thickBot="1">
      <c r="A19" s="112">
        <f t="shared" si="0"/>
        <v>9</v>
      </c>
      <c r="B19" s="114" t="s">
        <v>252</v>
      </c>
      <c r="E19" s="186"/>
      <c r="F19" s="190"/>
      <c r="G19" s="566">
        <f>G13*G17</f>
        <v>17171.110417166059</v>
      </c>
      <c r="H19" s="671"/>
      <c r="I19" s="189" t="s">
        <v>580</v>
      </c>
      <c r="J19" s="112">
        <f t="shared" si="1"/>
        <v>9</v>
      </c>
    </row>
    <row r="20" spans="1:12" ht="16" thickTop="1">
      <c r="A20" s="112">
        <f t="shared" si="0"/>
        <v>10</v>
      </c>
      <c r="E20" s="195"/>
      <c r="F20" s="190"/>
      <c r="G20" s="190"/>
      <c r="H20" s="190"/>
      <c r="I20" s="189"/>
      <c r="J20" s="112">
        <f t="shared" si="1"/>
        <v>10</v>
      </c>
    </row>
    <row r="21" spans="1:12">
      <c r="A21" s="112">
        <f t="shared" si="0"/>
        <v>11</v>
      </c>
      <c r="B21" s="196" t="s">
        <v>253</v>
      </c>
      <c r="E21" s="195"/>
      <c r="F21" s="190"/>
      <c r="G21" s="190"/>
      <c r="H21" s="190"/>
      <c r="I21" s="189"/>
      <c r="J21" s="112">
        <f t="shared" si="1"/>
        <v>11</v>
      </c>
    </row>
    <row r="22" spans="1:12">
      <c r="A22" s="112">
        <f t="shared" si="0"/>
        <v>12</v>
      </c>
      <c r="B22" s="114" t="s">
        <v>254</v>
      </c>
      <c r="E22" s="197">
        <v>35034.17873</v>
      </c>
      <c r="F22" s="671"/>
      <c r="G22" s="198"/>
      <c r="H22" s="190"/>
      <c r="I22" s="189" t="s">
        <v>786</v>
      </c>
      <c r="J22" s="112">
        <f t="shared" si="1"/>
        <v>12</v>
      </c>
    </row>
    <row r="23" spans="1:12">
      <c r="A23" s="112">
        <f t="shared" si="0"/>
        <v>13</v>
      </c>
      <c r="B23" s="114" t="s">
        <v>255</v>
      </c>
      <c r="E23" s="816">
        <f>'Pg9 Rev Stmt AH'!F49</f>
        <v>31993.644043210028</v>
      </c>
      <c r="F23" s="671" t="s">
        <v>460</v>
      </c>
      <c r="G23" s="200"/>
      <c r="H23" s="190"/>
      <c r="I23" s="189" t="s">
        <v>774</v>
      </c>
      <c r="J23" s="112">
        <f t="shared" si="1"/>
        <v>13</v>
      </c>
    </row>
    <row r="24" spans="1:12">
      <c r="A24" s="112">
        <f t="shared" si="0"/>
        <v>14</v>
      </c>
      <c r="B24" s="114" t="s">
        <v>173</v>
      </c>
      <c r="E24" s="817">
        <v>0</v>
      </c>
      <c r="F24" s="190"/>
      <c r="G24" s="200"/>
      <c r="H24" s="190"/>
      <c r="I24" s="189" t="s">
        <v>581</v>
      </c>
      <c r="J24" s="112">
        <f t="shared" si="1"/>
        <v>14</v>
      </c>
    </row>
    <row r="25" spans="1:12">
      <c r="A25" s="112">
        <f t="shared" si="0"/>
        <v>15</v>
      </c>
      <c r="B25" s="114" t="s">
        <v>50</v>
      </c>
      <c r="E25" s="818">
        <f>SUM(E22:E24)</f>
        <v>67027.822773210035</v>
      </c>
      <c r="F25" s="671" t="s">
        <v>460</v>
      </c>
      <c r="G25" s="184"/>
      <c r="H25" s="189"/>
      <c r="I25" s="189" t="s">
        <v>582</v>
      </c>
      <c r="J25" s="112">
        <f t="shared" si="1"/>
        <v>15</v>
      </c>
    </row>
    <row r="26" spans="1:12">
      <c r="A26" s="112">
        <f t="shared" si="0"/>
        <v>16</v>
      </c>
      <c r="F26" s="112"/>
      <c r="H26" s="112"/>
      <c r="I26" s="189"/>
      <c r="J26" s="112">
        <f t="shared" si="1"/>
        <v>16</v>
      </c>
    </row>
    <row r="27" spans="1:12">
      <c r="A27" s="112">
        <f t="shared" si="0"/>
        <v>17</v>
      </c>
      <c r="B27" s="114" t="s">
        <v>256</v>
      </c>
      <c r="E27" s="583">
        <f>1/8</f>
        <v>0.125</v>
      </c>
      <c r="F27" s="112"/>
      <c r="G27" s="201"/>
      <c r="H27" s="112"/>
      <c r="I27" s="189" t="s">
        <v>34</v>
      </c>
      <c r="J27" s="112">
        <f t="shared" si="1"/>
        <v>17</v>
      </c>
    </row>
    <row r="28" spans="1:12">
      <c r="A28" s="112">
        <f t="shared" si="0"/>
        <v>18</v>
      </c>
      <c r="E28" s="181" t="s">
        <v>6</v>
      </c>
      <c r="F28" s="190"/>
      <c r="G28" s="181"/>
      <c r="H28" s="190"/>
      <c r="I28" s="189"/>
      <c r="J28" s="112">
        <f t="shared" si="1"/>
        <v>18</v>
      </c>
    </row>
    <row r="29" spans="1:12" ht="16" thickBot="1">
      <c r="A29" s="112">
        <f t="shared" si="0"/>
        <v>19</v>
      </c>
      <c r="B29" s="114" t="s">
        <v>257</v>
      </c>
      <c r="E29" s="759">
        <f>E25*E27</f>
        <v>8378.4778466512544</v>
      </c>
      <c r="F29" s="671" t="s">
        <v>460</v>
      </c>
      <c r="G29" s="193"/>
      <c r="H29" s="190"/>
      <c r="I29" s="112" t="s">
        <v>583</v>
      </c>
      <c r="J29" s="112">
        <f t="shared" si="1"/>
        <v>19</v>
      </c>
      <c r="L29" s="121"/>
    </row>
    <row r="30" spans="1:12" ht="16" thickTop="1">
      <c r="B30" s="204"/>
    </row>
    <row r="31" spans="1:12">
      <c r="B31" s="204"/>
    </row>
    <row r="32" spans="1:12">
      <c r="A32" s="671" t="s">
        <v>460</v>
      </c>
      <c r="B32" s="1009" t="str">
        <f>'Pg9.2 Rev AH-3'!C53</f>
        <v>Items in BOLD have changed to correct the over-allocation of "Duplicate Charges (Company Energy Use)" Credit in FERC Account no. 929.</v>
      </c>
    </row>
    <row r="33" spans="1:2" ht="18">
      <c r="A33" s="205">
        <v>1</v>
      </c>
      <c r="B33" s="114" t="s">
        <v>258</v>
      </c>
    </row>
    <row r="34" spans="1:2" ht="18">
      <c r="A34" s="205"/>
    </row>
    <row r="35" spans="1:2">
      <c r="A35" s="110"/>
      <c r="B35" s="111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10&amp;R&amp;A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2715-3A77-4322-BDB7-2C0158BA829A}">
  <sheetPr>
    <pageSetUpPr fitToPage="1"/>
  </sheetPr>
  <dimension ref="A1:L36"/>
  <sheetViews>
    <sheetView zoomScale="80" zoomScaleNormal="80" workbookViewId="0"/>
  </sheetViews>
  <sheetFormatPr defaultColWidth="8.81640625" defaultRowHeight="15.5"/>
  <cols>
    <col min="1" max="1" width="5.1796875" style="112" bestFit="1" customWidth="1"/>
    <col min="2" max="2" width="68.81640625" style="114" customWidth="1"/>
    <col min="3" max="3" width="24" style="185" customWidth="1"/>
    <col min="4" max="4" width="1.54296875" style="114" customWidth="1"/>
    <col min="5" max="5" width="16.81640625" style="114" customWidth="1"/>
    <col min="6" max="6" width="1.54296875" style="114" customWidth="1"/>
    <col min="7" max="7" width="16.81640625" style="114" customWidth="1"/>
    <col min="8" max="8" width="1.54296875" style="114" customWidth="1"/>
    <col min="9" max="9" width="36.1796875" style="114" customWidth="1"/>
    <col min="10" max="10" width="5.1796875" style="114" customWidth="1"/>
    <col min="11" max="11" width="8.81640625" style="114"/>
    <col min="12" max="12" width="9.36328125" style="114" bestFit="1" customWidth="1"/>
    <col min="13" max="16384" width="8.81640625" style="114"/>
  </cols>
  <sheetData>
    <row r="1" spans="1:10">
      <c r="A1" s="914" t="s">
        <v>789</v>
      </c>
    </row>
    <row r="2" spans="1:10">
      <c r="A2" s="496"/>
      <c r="H2" s="112"/>
      <c r="I2" s="112"/>
      <c r="J2" s="112"/>
    </row>
    <row r="3" spans="1:10">
      <c r="B3" s="1034" t="s">
        <v>0</v>
      </c>
      <c r="C3" s="1035"/>
      <c r="D3" s="1035"/>
      <c r="E3" s="1035"/>
      <c r="F3" s="1035"/>
      <c r="G3" s="1035"/>
      <c r="H3" s="1035"/>
      <c r="I3" s="1035"/>
      <c r="J3" s="110"/>
    </row>
    <row r="4" spans="1:10">
      <c r="B4" s="1034" t="s">
        <v>242</v>
      </c>
      <c r="C4" s="1035"/>
      <c r="D4" s="1035"/>
      <c r="E4" s="1035"/>
      <c r="F4" s="1035"/>
      <c r="G4" s="1035"/>
      <c r="H4" s="1035"/>
      <c r="I4" s="1035"/>
      <c r="J4" s="110"/>
    </row>
    <row r="5" spans="1:10">
      <c r="B5" s="1034" t="s">
        <v>99</v>
      </c>
      <c r="C5" s="1035"/>
      <c r="D5" s="1035"/>
      <c r="E5" s="1035"/>
      <c r="F5" s="1035"/>
      <c r="G5" s="1035"/>
      <c r="H5" s="1035"/>
      <c r="I5" s="1035"/>
      <c r="J5" s="110"/>
    </row>
    <row r="6" spans="1:10">
      <c r="B6" s="1036" t="s">
        <v>480</v>
      </c>
      <c r="C6" s="1036"/>
      <c r="D6" s="1036"/>
      <c r="E6" s="1036"/>
      <c r="F6" s="1036"/>
      <c r="G6" s="1036"/>
      <c r="H6" s="1036"/>
      <c r="I6" s="1036"/>
      <c r="J6" s="110"/>
    </row>
    <row r="7" spans="1:10">
      <c r="B7" s="1037" t="s">
        <v>1</v>
      </c>
      <c r="C7" s="1037"/>
      <c r="D7" s="1037"/>
      <c r="E7" s="1037"/>
      <c r="F7" s="1037"/>
      <c r="G7" s="1037"/>
      <c r="H7" s="1037"/>
      <c r="I7" s="1037"/>
      <c r="J7" s="111"/>
    </row>
    <row r="8" spans="1:10">
      <c r="B8" s="112"/>
      <c r="D8" s="112"/>
      <c r="E8" s="112"/>
      <c r="F8" s="112"/>
      <c r="G8" s="112"/>
      <c r="H8" s="110"/>
      <c r="I8" s="110"/>
      <c r="J8" s="110"/>
    </row>
    <row r="9" spans="1:10">
      <c r="A9" s="112" t="s">
        <v>2</v>
      </c>
      <c r="B9" s="110"/>
      <c r="C9" s="132" t="s">
        <v>147</v>
      </c>
      <c r="D9" s="112"/>
      <c r="E9" s="112" t="s">
        <v>243</v>
      </c>
      <c r="F9" s="112"/>
      <c r="G9" s="112" t="s">
        <v>244</v>
      </c>
      <c r="H9" s="110"/>
      <c r="I9" s="110"/>
      <c r="J9" s="112" t="s">
        <v>2</v>
      </c>
    </row>
    <row r="10" spans="1:10">
      <c r="A10" s="112" t="s">
        <v>3</v>
      </c>
      <c r="B10" s="110"/>
      <c r="C10" s="561" t="s">
        <v>148</v>
      </c>
      <c r="D10" s="110"/>
      <c r="E10" s="562" t="s">
        <v>245</v>
      </c>
      <c r="F10" s="110"/>
      <c r="G10" s="562" t="s">
        <v>149</v>
      </c>
      <c r="H10" s="110"/>
      <c r="I10" s="563" t="s">
        <v>5</v>
      </c>
      <c r="J10" s="112" t="s">
        <v>3</v>
      </c>
    </row>
    <row r="11" spans="1:10">
      <c r="B11" s="112"/>
      <c r="D11" s="112"/>
      <c r="E11" s="112"/>
      <c r="F11" s="112"/>
      <c r="G11" s="112"/>
      <c r="H11" s="112"/>
      <c r="I11" s="112"/>
      <c r="J11" s="112"/>
    </row>
    <row r="12" spans="1:10" ht="18">
      <c r="A12" s="112">
        <v>1</v>
      </c>
      <c r="B12" s="114" t="s">
        <v>246</v>
      </c>
      <c r="C12" s="112" t="s">
        <v>247</v>
      </c>
      <c r="E12" s="186"/>
      <c r="F12" s="187"/>
      <c r="G12" s="188">
        <v>119385.43410490715</v>
      </c>
      <c r="H12" s="187"/>
      <c r="I12" s="189" t="s">
        <v>577</v>
      </c>
      <c r="J12" s="112">
        <f>A12</f>
        <v>1</v>
      </c>
    </row>
    <row r="13" spans="1:10">
      <c r="A13" s="112">
        <f>+A12+1</f>
        <v>2</v>
      </c>
      <c r="C13" s="112"/>
      <c r="E13" s="181"/>
      <c r="F13" s="190"/>
      <c r="G13" s="190"/>
      <c r="H13" s="190"/>
      <c r="I13" s="189"/>
      <c r="J13" s="112">
        <f>+J12+1</f>
        <v>2</v>
      </c>
    </row>
    <row r="14" spans="1:10">
      <c r="A14" s="112">
        <f t="shared" ref="A14:A30" si="0">+A13+1</f>
        <v>3</v>
      </c>
      <c r="B14" s="114" t="s">
        <v>248</v>
      </c>
      <c r="C14" s="112"/>
      <c r="E14" s="191"/>
      <c r="F14" s="192"/>
      <c r="G14" s="565">
        <v>0.38635877467208013</v>
      </c>
      <c r="H14" s="187"/>
      <c r="I14" s="189" t="s">
        <v>727</v>
      </c>
      <c r="J14" s="112">
        <f t="shared" ref="J14:J30" si="1">+J13+1</f>
        <v>3</v>
      </c>
    </row>
    <row r="15" spans="1:10">
      <c r="A15" s="112">
        <f t="shared" si="0"/>
        <v>4</v>
      </c>
      <c r="C15" s="112"/>
      <c r="E15" s="181"/>
      <c r="F15" s="190"/>
      <c r="G15" s="181"/>
      <c r="H15" s="190"/>
      <c r="I15" s="189"/>
      <c r="J15" s="112">
        <f t="shared" si="1"/>
        <v>4</v>
      </c>
    </row>
    <row r="16" spans="1:10" ht="16" thickBot="1">
      <c r="A16" s="112">
        <f t="shared" si="0"/>
        <v>5</v>
      </c>
      <c r="B16" s="114" t="s">
        <v>249</v>
      </c>
      <c r="C16" s="112"/>
      <c r="E16" s="193"/>
      <c r="F16" s="190"/>
      <c r="G16" s="759">
        <f>G12*G14</f>
        <v>46125.610034466292</v>
      </c>
      <c r="H16" s="671" t="s">
        <v>460</v>
      </c>
      <c r="I16" s="189" t="s">
        <v>578</v>
      </c>
      <c r="J16" s="112">
        <f t="shared" si="1"/>
        <v>5</v>
      </c>
    </row>
    <row r="17" spans="1:12" ht="16" thickTop="1">
      <c r="A17" s="112">
        <f t="shared" si="0"/>
        <v>6</v>
      </c>
      <c r="C17" s="112"/>
      <c r="E17" s="126"/>
      <c r="F17" s="112"/>
      <c r="G17" s="112"/>
      <c r="H17" s="112"/>
      <c r="I17" s="189"/>
      <c r="J17" s="112">
        <f t="shared" si="1"/>
        <v>6</v>
      </c>
    </row>
    <row r="18" spans="1:12" ht="18">
      <c r="A18" s="112">
        <f t="shared" si="0"/>
        <v>7</v>
      </c>
      <c r="B18" s="114" t="s">
        <v>250</v>
      </c>
      <c r="C18" s="112" t="s">
        <v>251</v>
      </c>
      <c r="D18" s="184"/>
      <c r="E18" s="186"/>
      <c r="F18" s="190"/>
      <c r="G18" s="582">
        <v>44443.433261584243</v>
      </c>
      <c r="H18" s="187"/>
      <c r="I18" s="189" t="s">
        <v>579</v>
      </c>
      <c r="J18" s="112">
        <f t="shared" si="1"/>
        <v>7</v>
      </c>
    </row>
    <row r="19" spans="1:12">
      <c r="A19" s="112">
        <f t="shared" si="0"/>
        <v>8</v>
      </c>
      <c r="C19" s="112"/>
      <c r="E19" s="194"/>
      <c r="F19" s="190"/>
      <c r="G19" s="190"/>
      <c r="H19" s="190"/>
      <c r="I19" s="189"/>
      <c r="J19" s="112">
        <f t="shared" si="1"/>
        <v>8</v>
      </c>
    </row>
    <row r="20" spans="1:12" ht="16" thickBot="1">
      <c r="A20" s="112">
        <f t="shared" si="0"/>
        <v>9</v>
      </c>
      <c r="B20" s="114" t="s">
        <v>252</v>
      </c>
      <c r="E20" s="186"/>
      <c r="F20" s="190"/>
      <c r="G20" s="759">
        <f>G14*G18</f>
        <v>17171.110417166059</v>
      </c>
      <c r="H20" s="671" t="s">
        <v>460</v>
      </c>
      <c r="I20" s="189" t="s">
        <v>580</v>
      </c>
      <c r="J20" s="112">
        <f t="shared" si="1"/>
        <v>9</v>
      </c>
    </row>
    <row r="21" spans="1:12" ht="16" thickTop="1">
      <c r="A21" s="112">
        <f t="shared" si="0"/>
        <v>10</v>
      </c>
      <c r="E21" s="195"/>
      <c r="F21" s="190"/>
      <c r="G21" s="190"/>
      <c r="H21" s="190"/>
      <c r="I21" s="189"/>
      <c r="J21" s="112">
        <f t="shared" si="1"/>
        <v>10</v>
      </c>
    </row>
    <row r="22" spans="1:12">
      <c r="A22" s="112">
        <f t="shared" si="0"/>
        <v>11</v>
      </c>
      <c r="B22" s="196" t="s">
        <v>253</v>
      </c>
      <c r="E22" s="195"/>
      <c r="F22" s="190"/>
      <c r="G22" s="190"/>
      <c r="H22" s="190"/>
      <c r="I22" s="189"/>
      <c r="J22" s="112">
        <f t="shared" si="1"/>
        <v>11</v>
      </c>
    </row>
    <row r="23" spans="1:12">
      <c r="A23" s="112">
        <f t="shared" si="0"/>
        <v>12</v>
      </c>
      <c r="B23" s="114" t="s">
        <v>254</v>
      </c>
      <c r="E23" s="815">
        <v>35034.17873</v>
      </c>
      <c r="F23" s="671" t="s">
        <v>460</v>
      </c>
      <c r="G23" s="198"/>
      <c r="H23" s="190"/>
      <c r="I23" s="189" t="s">
        <v>728</v>
      </c>
      <c r="J23" s="112">
        <f t="shared" si="1"/>
        <v>12</v>
      </c>
    </row>
    <row r="24" spans="1:12">
      <c r="A24" s="112">
        <f t="shared" si="0"/>
        <v>13</v>
      </c>
      <c r="B24" s="114" t="s">
        <v>255</v>
      </c>
      <c r="E24" s="816">
        <v>31946.388544949888</v>
      </c>
      <c r="F24" s="671" t="s">
        <v>460</v>
      </c>
      <c r="G24" s="200"/>
      <c r="H24" s="190"/>
      <c r="I24" s="189" t="s">
        <v>707</v>
      </c>
      <c r="J24" s="112">
        <f t="shared" si="1"/>
        <v>13</v>
      </c>
    </row>
    <row r="25" spans="1:12">
      <c r="A25" s="112">
        <f t="shared" si="0"/>
        <v>14</v>
      </c>
      <c r="B25" s="114" t="s">
        <v>173</v>
      </c>
      <c r="E25" s="817">
        <v>0</v>
      </c>
      <c r="F25" s="190"/>
      <c r="G25" s="200"/>
      <c r="H25" s="190"/>
      <c r="I25" s="189" t="s">
        <v>581</v>
      </c>
      <c r="J25" s="112">
        <f t="shared" si="1"/>
        <v>14</v>
      </c>
      <c r="L25" s="985"/>
    </row>
    <row r="26" spans="1:12">
      <c r="A26" s="112">
        <f t="shared" si="0"/>
        <v>15</v>
      </c>
      <c r="B26" s="114" t="s">
        <v>50</v>
      </c>
      <c r="E26" s="818">
        <f>SUM(E23:E25)</f>
        <v>66980.567274949892</v>
      </c>
      <c r="F26" s="671" t="s">
        <v>460</v>
      </c>
      <c r="G26" s="184"/>
      <c r="H26" s="189"/>
      <c r="I26" s="189" t="s">
        <v>582</v>
      </c>
      <c r="J26" s="112">
        <f t="shared" si="1"/>
        <v>15</v>
      </c>
    </row>
    <row r="27" spans="1:12">
      <c r="A27" s="112">
        <f t="shared" si="0"/>
        <v>16</v>
      </c>
      <c r="F27" s="112"/>
      <c r="H27" s="112"/>
      <c r="I27" s="189"/>
      <c r="J27" s="112">
        <f t="shared" si="1"/>
        <v>16</v>
      </c>
    </row>
    <row r="28" spans="1:12">
      <c r="A28" s="112">
        <f t="shared" si="0"/>
        <v>17</v>
      </c>
      <c r="B28" s="114" t="s">
        <v>256</v>
      </c>
      <c r="E28" s="583">
        <f>1/8</f>
        <v>0.125</v>
      </c>
      <c r="F28" s="112"/>
      <c r="G28" s="201"/>
      <c r="H28" s="112"/>
      <c r="I28" s="189" t="s">
        <v>34</v>
      </c>
      <c r="J28" s="112">
        <f t="shared" si="1"/>
        <v>17</v>
      </c>
    </row>
    <row r="29" spans="1:12">
      <c r="A29" s="112">
        <f t="shared" si="0"/>
        <v>18</v>
      </c>
      <c r="E29" s="181" t="s">
        <v>6</v>
      </c>
      <c r="F29" s="190"/>
      <c r="G29" s="181"/>
      <c r="H29" s="190"/>
      <c r="I29" s="189"/>
      <c r="J29" s="112">
        <f t="shared" si="1"/>
        <v>18</v>
      </c>
    </row>
    <row r="30" spans="1:12" ht="16" thickBot="1">
      <c r="A30" s="112">
        <f t="shared" si="0"/>
        <v>19</v>
      </c>
      <c r="B30" s="114" t="s">
        <v>257</v>
      </c>
      <c r="E30" s="759">
        <f>E26*E28</f>
        <v>8372.5709093687365</v>
      </c>
      <c r="F30" s="671" t="s">
        <v>460</v>
      </c>
      <c r="G30" s="193"/>
      <c r="H30" s="190"/>
      <c r="I30" s="112" t="s">
        <v>583</v>
      </c>
      <c r="J30" s="112">
        <f t="shared" si="1"/>
        <v>19</v>
      </c>
    </row>
    <row r="31" spans="1:12" ht="16" thickTop="1">
      <c r="B31" s="204"/>
    </row>
    <row r="32" spans="1:12">
      <c r="B32" s="204"/>
    </row>
    <row r="33" spans="1:2">
      <c r="A33" s="671" t="s">
        <v>460</v>
      </c>
      <c r="B33" s="111" t="s">
        <v>687</v>
      </c>
    </row>
    <row r="34" spans="1:2" ht="18">
      <c r="A34" s="205">
        <v>1</v>
      </c>
      <c r="B34" s="114" t="s">
        <v>258</v>
      </c>
    </row>
    <row r="35" spans="1:2" ht="18">
      <c r="A35" s="205"/>
    </row>
    <row r="36" spans="1:2">
      <c r="A36" s="110"/>
      <c r="B36" s="111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Roman,Bold"&amp;7AS FILED STMT AL WITH FERC AUDIT ADJ INCL IN APPENDIX X CYCLE 12 (ER24-176)</oddHeader>
    <oddFooter>&amp;L&amp;F&amp;CPage 10.1&amp;R&amp;A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67E1-14DC-44D6-8B78-2E599CDFFFB4}">
  <dimension ref="A1:M162"/>
  <sheetViews>
    <sheetView zoomScale="80" zoomScaleNormal="80" workbookViewId="0"/>
  </sheetViews>
  <sheetFormatPr defaultColWidth="8.81640625" defaultRowHeight="15.5"/>
  <cols>
    <col min="1" max="1" width="5.1796875" style="132" customWidth="1"/>
    <col min="2" max="2" width="55.453125" style="128" customWidth="1"/>
    <col min="3" max="5" width="15.54296875" style="128" customWidth="1"/>
    <col min="6" max="6" width="1.54296875" style="128" customWidth="1"/>
    <col min="7" max="7" width="16.81640625" style="128" customWidth="1"/>
    <col min="8" max="8" width="1.54296875" style="128" customWidth="1"/>
    <col min="9" max="9" width="38.81640625" style="218" customWidth="1"/>
    <col min="10" max="10" width="5.1796875" style="128" customWidth="1"/>
    <col min="11" max="11" width="27" style="128" bestFit="1" customWidth="1"/>
    <col min="12" max="12" width="15" style="128" bestFit="1" customWidth="1"/>
    <col min="13" max="13" width="10.453125" style="128" bestFit="1" customWidth="1"/>
    <col min="14" max="16384" width="8.81640625" style="128"/>
  </cols>
  <sheetData>
    <row r="1" spans="1:10">
      <c r="A1" s="235"/>
      <c r="G1" s="210"/>
      <c r="H1" s="210"/>
      <c r="I1" s="236"/>
      <c r="J1" s="132"/>
    </row>
    <row r="2" spans="1:10">
      <c r="B2" s="1028" t="s">
        <v>259</v>
      </c>
      <c r="C2" s="1028"/>
      <c r="D2" s="1028"/>
      <c r="E2" s="1028"/>
      <c r="F2" s="1028"/>
      <c r="G2" s="1028"/>
      <c r="H2" s="1028"/>
      <c r="I2" s="1028"/>
      <c r="J2" s="132"/>
    </row>
    <row r="3" spans="1:10">
      <c r="B3" s="1028" t="s">
        <v>260</v>
      </c>
      <c r="C3" s="1028"/>
      <c r="D3" s="1028"/>
      <c r="E3" s="1028"/>
      <c r="F3" s="1028"/>
      <c r="G3" s="1028"/>
      <c r="H3" s="1028"/>
      <c r="I3" s="1028"/>
      <c r="J3" s="132"/>
    </row>
    <row r="4" spans="1:10">
      <c r="B4" s="1028" t="s">
        <v>261</v>
      </c>
      <c r="C4" s="1028"/>
      <c r="D4" s="1028"/>
      <c r="E4" s="1028"/>
      <c r="F4" s="1028"/>
      <c r="G4" s="1028"/>
      <c r="H4" s="1028"/>
      <c r="I4" s="1028"/>
      <c r="J4" s="132"/>
    </row>
    <row r="5" spans="1:10">
      <c r="B5" s="1029" t="s">
        <v>480</v>
      </c>
      <c r="C5" s="1029"/>
      <c r="D5" s="1029"/>
      <c r="E5" s="1029"/>
      <c r="F5" s="1029"/>
      <c r="G5" s="1029"/>
      <c r="H5" s="1029"/>
      <c r="I5" s="1029"/>
      <c r="J5" s="132"/>
    </row>
    <row r="6" spans="1:10">
      <c r="B6" s="1030" t="s">
        <v>1</v>
      </c>
      <c r="C6" s="1031"/>
      <c r="D6" s="1031"/>
      <c r="E6" s="1031"/>
      <c r="F6" s="1031"/>
      <c r="G6" s="1031"/>
      <c r="H6" s="1031"/>
      <c r="I6" s="1031"/>
      <c r="J6" s="132"/>
    </row>
    <row r="7" spans="1:10">
      <c r="B7" s="132"/>
      <c r="C7" s="132"/>
      <c r="D7" s="132"/>
      <c r="E7" s="132"/>
      <c r="F7" s="132"/>
      <c r="G7" s="132"/>
      <c r="H7" s="132"/>
      <c r="I7" s="227"/>
      <c r="J7" s="132"/>
    </row>
    <row r="8" spans="1:10">
      <c r="A8" s="132" t="s">
        <v>2</v>
      </c>
      <c r="B8" s="505"/>
      <c r="C8" s="505"/>
      <c r="D8" s="505"/>
      <c r="E8" s="132" t="s">
        <v>147</v>
      </c>
      <c r="F8" s="505"/>
      <c r="G8" s="505"/>
      <c r="H8" s="505"/>
      <c r="I8" s="227"/>
      <c r="J8" s="132" t="s">
        <v>2</v>
      </c>
    </row>
    <row r="9" spans="1:10">
      <c r="A9" s="132" t="s">
        <v>3</v>
      </c>
      <c r="B9" s="132"/>
      <c r="C9" s="132"/>
      <c r="D9" s="132"/>
      <c r="E9" s="561" t="s">
        <v>148</v>
      </c>
      <c r="F9" s="132"/>
      <c r="G9" s="567" t="s">
        <v>33</v>
      </c>
      <c r="H9" s="505"/>
      <c r="I9" s="584" t="s">
        <v>5</v>
      </c>
      <c r="J9" s="132" t="s">
        <v>3</v>
      </c>
    </row>
    <row r="10" spans="1:10">
      <c r="B10" s="132"/>
      <c r="C10" s="132"/>
      <c r="D10" s="132"/>
      <c r="E10" s="132"/>
      <c r="F10" s="132"/>
      <c r="G10" s="132"/>
      <c r="H10" s="132"/>
      <c r="I10" s="227"/>
      <c r="J10" s="132"/>
    </row>
    <row r="11" spans="1:10">
      <c r="A11" s="132">
        <v>1</v>
      </c>
      <c r="B11" s="221" t="s">
        <v>262</v>
      </c>
      <c r="I11" s="227"/>
      <c r="J11" s="132">
        <f>A11</f>
        <v>1</v>
      </c>
    </row>
    <row r="12" spans="1:10">
      <c r="A12" s="132">
        <f>A11+1</f>
        <v>2</v>
      </c>
      <c r="B12" s="128" t="s">
        <v>263</v>
      </c>
      <c r="E12" s="132" t="s">
        <v>264</v>
      </c>
      <c r="F12" s="116"/>
      <c r="G12" s="208">
        <v>4573220</v>
      </c>
      <c r="H12" s="505"/>
      <c r="I12" s="237"/>
      <c r="J12" s="132">
        <f>J11+1</f>
        <v>2</v>
      </c>
    </row>
    <row r="13" spans="1:10">
      <c r="A13" s="132">
        <f t="shared" ref="A13:A52" si="0">A12+1</f>
        <v>3</v>
      </c>
      <c r="B13" s="128" t="s">
        <v>265</v>
      </c>
      <c r="E13" s="132" t="s">
        <v>266</v>
      </c>
      <c r="F13" s="116"/>
      <c r="G13" s="211">
        <v>0</v>
      </c>
      <c r="H13" s="505"/>
      <c r="I13" s="237"/>
      <c r="J13" s="132">
        <f t="shared" ref="J13:J52" si="1">J12+1</f>
        <v>3</v>
      </c>
    </row>
    <row r="14" spans="1:10">
      <c r="A14" s="132">
        <f t="shared" si="0"/>
        <v>4</v>
      </c>
      <c r="B14" s="128" t="s">
        <v>267</v>
      </c>
      <c r="E14" s="132" t="s">
        <v>268</v>
      </c>
      <c r="F14" s="116"/>
      <c r="G14" s="211">
        <v>0</v>
      </c>
      <c r="H14" s="505"/>
      <c r="I14" s="237"/>
      <c r="J14" s="132">
        <f t="shared" si="1"/>
        <v>4</v>
      </c>
    </row>
    <row r="15" spans="1:10">
      <c r="A15" s="132">
        <f t="shared" si="0"/>
        <v>5</v>
      </c>
      <c r="B15" s="128" t="s">
        <v>269</v>
      </c>
      <c r="E15" s="132" t="s">
        <v>270</v>
      </c>
      <c r="F15" s="116"/>
      <c r="G15" s="211">
        <v>0</v>
      </c>
      <c r="H15" s="505"/>
      <c r="I15" s="237"/>
      <c r="J15" s="132">
        <f t="shared" si="1"/>
        <v>5</v>
      </c>
    </row>
    <row r="16" spans="1:10">
      <c r="A16" s="132">
        <f t="shared" si="0"/>
        <v>6</v>
      </c>
      <c r="B16" s="128" t="s">
        <v>271</v>
      </c>
      <c r="E16" s="132" t="s">
        <v>272</v>
      </c>
      <c r="F16" s="116"/>
      <c r="G16" s="211">
        <v>-11674.56719</v>
      </c>
      <c r="H16" s="505"/>
      <c r="I16" s="237"/>
      <c r="J16" s="132">
        <f t="shared" si="1"/>
        <v>6</v>
      </c>
    </row>
    <row r="17" spans="1:10">
      <c r="A17" s="132">
        <f t="shared" si="0"/>
        <v>7</v>
      </c>
      <c r="B17" s="128" t="s">
        <v>273</v>
      </c>
      <c r="G17" s="569">
        <f>SUM(G12:G16)</f>
        <v>4561545.4328100001</v>
      </c>
      <c r="H17" s="203"/>
      <c r="I17" s="227" t="s">
        <v>584</v>
      </c>
      <c r="J17" s="132">
        <f t="shared" si="1"/>
        <v>7</v>
      </c>
    </row>
    <row r="18" spans="1:10">
      <c r="A18" s="132">
        <f t="shared" si="0"/>
        <v>8</v>
      </c>
      <c r="I18" s="227"/>
      <c r="J18" s="132">
        <f t="shared" si="1"/>
        <v>8</v>
      </c>
    </row>
    <row r="19" spans="1:10">
      <c r="A19" s="132">
        <f t="shared" si="0"/>
        <v>9</v>
      </c>
      <c r="B19" s="221" t="s">
        <v>274</v>
      </c>
      <c r="G19" s="123"/>
      <c r="H19" s="123"/>
      <c r="I19" s="227"/>
      <c r="J19" s="132">
        <f t="shared" si="1"/>
        <v>9</v>
      </c>
    </row>
    <row r="20" spans="1:10">
      <c r="A20" s="132">
        <f t="shared" si="0"/>
        <v>10</v>
      </c>
      <c r="B20" s="128" t="s">
        <v>275</v>
      </c>
      <c r="E20" s="132" t="s">
        <v>276</v>
      </c>
      <c r="F20" s="116"/>
      <c r="G20" s="208">
        <v>185808.92551000003</v>
      </c>
      <c r="H20" s="505"/>
      <c r="I20" s="238"/>
      <c r="J20" s="132">
        <f t="shared" si="1"/>
        <v>10</v>
      </c>
    </row>
    <row r="21" spans="1:10">
      <c r="A21" s="132">
        <f t="shared" si="0"/>
        <v>11</v>
      </c>
      <c r="B21" s="128" t="s">
        <v>277</v>
      </c>
      <c r="E21" s="132" t="s">
        <v>278</v>
      </c>
      <c r="F21" s="116"/>
      <c r="G21" s="211">
        <v>3445.5419300000008</v>
      </c>
      <c r="H21" s="505"/>
      <c r="I21" s="238"/>
      <c r="J21" s="132">
        <f t="shared" si="1"/>
        <v>11</v>
      </c>
    </row>
    <row r="22" spans="1:10">
      <c r="A22" s="132">
        <f t="shared" si="0"/>
        <v>12</v>
      </c>
      <c r="B22" s="128" t="s">
        <v>279</v>
      </c>
      <c r="E22" s="132" t="s">
        <v>280</v>
      </c>
      <c r="F22" s="116"/>
      <c r="G22" s="211">
        <v>3334.7596600000006</v>
      </c>
      <c r="H22" s="505"/>
      <c r="I22" s="238"/>
      <c r="J22" s="132">
        <f t="shared" si="1"/>
        <v>12</v>
      </c>
    </row>
    <row r="23" spans="1:10">
      <c r="A23" s="132">
        <f t="shared" si="0"/>
        <v>13</v>
      </c>
      <c r="B23" s="128" t="s">
        <v>281</v>
      </c>
      <c r="E23" s="132" t="s">
        <v>282</v>
      </c>
      <c r="F23" s="116"/>
      <c r="G23" s="211">
        <v>0</v>
      </c>
      <c r="H23" s="505"/>
      <c r="I23" s="238"/>
      <c r="J23" s="132">
        <f t="shared" si="1"/>
        <v>13</v>
      </c>
    </row>
    <row r="24" spans="1:10">
      <c r="A24" s="132">
        <f t="shared" si="0"/>
        <v>14</v>
      </c>
      <c r="B24" s="128" t="s">
        <v>283</v>
      </c>
      <c r="E24" s="132" t="s">
        <v>284</v>
      </c>
      <c r="F24" s="116"/>
      <c r="G24" s="211">
        <v>0</v>
      </c>
      <c r="H24" s="505"/>
      <c r="I24" s="238"/>
      <c r="J24" s="132">
        <f t="shared" si="1"/>
        <v>14</v>
      </c>
    </row>
    <row r="25" spans="1:10">
      <c r="A25" s="132">
        <f t="shared" si="0"/>
        <v>15</v>
      </c>
      <c r="B25" s="128" t="s">
        <v>285</v>
      </c>
      <c r="G25" s="585">
        <f>SUM(G20:G24)</f>
        <v>192589.22710000005</v>
      </c>
      <c r="H25" s="212"/>
      <c r="I25" s="227" t="s">
        <v>585</v>
      </c>
      <c r="J25" s="132">
        <f t="shared" si="1"/>
        <v>15</v>
      </c>
    </row>
    <row r="26" spans="1:10">
      <c r="A26" s="132">
        <f t="shared" si="0"/>
        <v>16</v>
      </c>
      <c r="I26" s="227"/>
      <c r="J26" s="132">
        <f t="shared" si="1"/>
        <v>16</v>
      </c>
    </row>
    <row r="27" spans="1:10" ht="16" thickBot="1">
      <c r="A27" s="132">
        <f t="shared" si="0"/>
        <v>17</v>
      </c>
      <c r="B27" s="221" t="s">
        <v>286</v>
      </c>
      <c r="G27" s="586">
        <f>G25/G17</f>
        <v>4.2220170759400148E-2</v>
      </c>
      <c r="H27" s="239"/>
      <c r="I27" s="227" t="s">
        <v>586</v>
      </c>
      <c r="J27" s="132">
        <f t="shared" si="1"/>
        <v>17</v>
      </c>
    </row>
    <row r="28" spans="1:10" ht="16" thickTop="1">
      <c r="A28" s="132">
        <f t="shared" si="0"/>
        <v>18</v>
      </c>
      <c r="I28" s="227"/>
      <c r="J28" s="132">
        <f t="shared" si="1"/>
        <v>18</v>
      </c>
    </row>
    <row r="29" spans="1:10">
      <c r="A29" s="132">
        <f t="shared" si="0"/>
        <v>19</v>
      </c>
      <c r="B29" s="221" t="s">
        <v>287</v>
      </c>
      <c r="I29" s="227"/>
      <c r="J29" s="132">
        <f t="shared" si="1"/>
        <v>19</v>
      </c>
    </row>
    <row r="30" spans="1:10">
      <c r="A30" s="132">
        <f t="shared" si="0"/>
        <v>20</v>
      </c>
      <c r="B30" s="128" t="s">
        <v>288</v>
      </c>
      <c r="E30" s="132" t="s">
        <v>289</v>
      </c>
      <c r="F30" s="116"/>
      <c r="G30" s="208">
        <v>0</v>
      </c>
      <c r="H30" s="505"/>
      <c r="I30" s="238"/>
      <c r="J30" s="132">
        <f t="shared" si="1"/>
        <v>20</v>
      </c>
    </row>
    <row r="31" spans="1:10">
      <c r="A31" s="132">
        <f t="shared" si="0"/>
        <v>21</v>
      </c>
      <c r="B31" s="128" t="s">
        <v>290</v>
      </c>
      <c r="E31" s="132" t="s">
        <v>291</v>
      </c>
      <c r="F31" s="116"/>
      <c r="G31" s="587">
        <v>0</v>
      </c>
      <c r="H31" s="505"/>
      <c r="I31" s="238"/>
      <c r="J31" s="132">
        <f t="shared" si="1"/>
        <v>21</v>
      </c>
    </row>
    <row r="32" spans="1:10" ht="16" thickBot="1">
      <c r="A32" s="132">
        <f t="shared" si="0"/>
        <v>22</v>
      </c>
      <c r="B32" s="128" t="s">
        <v>292</v>
      </c>
      <c r="G32" s="586">
        <f>IFERROR((G31/G30),0)</f>
        <v>0</v>
      </c>
      <c r="H32" s="239"/>
      <c r="I32" s="227" t="s">
        <v>587</v>
      </c>
      <c r="J32" s="132">
        <f t="shared" si="1"/>
        <v>22</v>
      </c>
    </row>
    <row r="33" spans="1:12" ht="16" thickTop="1">
      <c r="A33" s="132">
        <f t="shared" si="0"/>
        <v>23</v>
      </c>
      <c r="I33" s="227"/>
      <c r="J33" s="132">
        <f t="shared" si="1"/>
        <v>23</v>
      </c>
    </row>
    <row r="34" spans="1:12">
      <c r="A34" s="132">
        <f t="shared" si="0"/>
        <v>24</v>
      </c>
      <c r="B34" s="221" t="s">
        <v>293</v>
      </c>
      <c r="I34" s="227"/>
      <c r="J34" s="132">
        <f t="shared" si="1"/>
        <v>24</v>
      </c>
    </row>
    <row r="35" spans="1:12">
      <c r="A35" s="132">
        <f t="shared" si="0"/>
        <v>25</v>
      </c>
      <c r="B35" s="128" t="s">
        <v>294</v>
      </c>
      <c r="E35" s="132" t="s">
        <v>295</v>
      </c>
      <c r="F35" s="116"/>
      <c r="G35" s="208">
        <v>5596415.2139900001</v>
      </c>
      <c r="H35" s="505"/>
      <c r="I35" s="238"/>
      <c r="J35" s="132">
        <f t="shared" si="1"/>
        <v>25</v>
      </c>
      <c r="K35" s="202"/>
      <c r="L35" s="481"/>
    </row>
    <row r="36" spans="1:12">
      <c r="A36" s="132">
        <f t="shared" si="0"/>
        <v>26</v>
      </c>
      <c r="B36" s="128" t="s">
        <v>296</v>
      </c>
      <c r="E36" s="132" t="s">
        <v>289</v>
      </c>
      <c r="G36" s="240">
        <f>-G30</f>
        <v>0</v>
      </c>
      <c r="H36" s="240"/>
      <c r="I36" s="227" t="s">
        <v>588</v>
      </c>
      <c r="J36" s="132">
        <f t="shared" si="1"/>
        <v>26</v>
      </c>
    </row>
    <row r="37" spans="1:12">
      <c r="A37" s="132">
        <f t="shared" si="0"/>
        <v>27</v>
      </c>
      <c r="B37" s="128" t="s">
        <v>297</v>
      </c>
      <c r="E37" s="132" t="s">
        <v>298</v>
      </c>
      <c r="G37" s="211">
        <v>0</v>
      </c>
      <c r="H37" s="505"/>
      <c r="I37" s="238"/>
      <c r="J37" s="132">
        <f t="shared" si="1"/>
        <v>27</v>
      </c>
    </row>
    <row r="38" spans="1:12">
      <c r="A38" s="132">
        <f t="shared" si="0"/>
        <v>28</v>
      </c>
      <c r="B38" s="128" t="s">
        <v>299</v>
      </c>
      <c r="E38" s="132" t="s">
        <v>300</v>
      </c>
      <c r="G38" s="211">
        <v>8217.2675099999997</v>
      </c>
      <c r="H38" s="505"/>
      <c r="I38" s="238"/>
      <c r="J38" s="132">
        <f t="shared" si="1"/>
        <v>28</v>
      </c>
    </row>
    <row r="39" spans="1:12" ht="16" thickBot="1">
      <c r="A39" s="132">
        <f t="shared" si="0"/>
        <v>29</v>
      </c>
      <c r="B39" s="128" t="s">
        <v>301</v>
      </c>
      <c r="G39" s="588">
        <f>SUM(G35:G38)</f>
        <v>5604632.4814999998</v>
      </c>
      <c r="H39" s="241"/>
      <c r="I39" s="227" t="s">
        <v>589</v>
      </c>
      <c r="J39" s="132">
        <f t="shared" si="1"/>
        <v>29</v>
      </c>
    </row>
    <row r="40" spans="1:12" ht="16.5" thickTop="1" thickBot="1">
      <c r="A40" s="497">
        <f t="shared" si="0"/>
        <v>30</v>
      </c>
      <c r="B40" s="498"/>
      <c r="C40" s="498"/>
      <c r="D40" s="498"/>
      <c r="E40" s="498"/>
      <c r="F40" s="498"/>
      <c r="G40" s="498"/>
      <c r="H40" s="498"/>
      <c r="I40" s="589"/>
      <c r="J40" s="497">
        <f t="shared" si="1"/>
        <v>30</v>
      </c>
    </row>
    <row r="41" spans="1:12">
      <c r="A41" s="132">
        <f>A40+1</f>
        <v>31</v>
      </c>
      <c r="I41" s="227"/>
      <c r="J41" s="132">
        <f>J40+1</f>
        <v>31</v>
      </c>
    </row>
    <row r="42" spans="1:12" ht="18.5" thickBot="1">
      <c r="A42" s="132">
        <f>A41+1</f>
        <v>32</v>
      </c>
      <c r="B42" s="221" t="s">
        <v>302</v>
      </c>
      <c r="G42" s="590">
        <v>0.10050000000000001</v>
      </c>
      <c r="H42" s="505"/>
      <c r="I42" s="227" t="s">
        <v>303</v>
      </c>
      <c r="J42" s="132">
        <f>J41+1</f>
        <v>32</v>
      </c>
    </row>
    <row r="43" spans="1:12" ht="16" thickTop="1">
      <c r="A43" s="132">
        <f t="shared" si="0"/>
        <v>33</v>
      </c>
      <c r="C43" s="214" t="s">
        <v>7</v>
      </c>
      <c r="D43" s="214" t="s">
        <v>8</v>
      </c>
      <c r="E43" s="214" t="s">
        <v>9</v>
      </c>
      <c r="F43" s="214"/>
      <c r="G43" s="214" t="s">
        <v>304</v>
      </c>
      <c r="H43" s="214"/>
      <c r="I43" s="227"/>
      <c r="J43" s="132">
        <f t="shared" si="1"/>
        <v>33</v>
      </c>
    </row>
    <row r="44" spans="1:12">
      <c r="A44" s="132">
        <f t="shared" si="0"/>
        <v>34</v>
      </c>
      <c r="D44" s="132" t="s">
        <v>305</v>
      </c>
      <c r="E44" s="132" t="s">
        <v>306</v>
      </c>
      <c r="F44" s="132"/>
      <c r="G44" s="132" t="s">
        <v>307</v>
      </c>
      <c r="H44" s="132"/>
      <c r="I44" s="227"/>
      <c r="J44" s="132">
        <f t="shared" si="1"/>
        <v>34</v>
      </c>
    </row>
    <row r="45" spans="1:12" ht="18">
      <c r="A45" s="132">
        <f t="shared" si="0"/>
        <v>35</v>
      </c>
      <c r="B45" s="221" t="s">
        <v>308</v>
      </c>
      <c r="C45" s="561" t="s">
        <v>241</v>
      </c>
      <c r="D45" s="561" t="s">
        <v>309</v>
      </c>
      <c r="E45" s="561" t="s">
        <v>310</v>
      </c>
      <c r="F45" s="561"/>
      <c r="G45" s="561" t="s">
        <v>311</v>
      </c>
      <c r="H45" s="132"/>
      <c r="I45" s="227"/>
      <c r="J45" s="132">
        <f t="shared" si="1"/>
        <v>35</v>
      </c>
    </row>
    <row r="46" spans="1:12">
      <c r="A46" s="132">
        <f t="shared" si="0"/>
        <v>36</v>
      </c>
      <c r="I46" s="227"/>
      <c r="J46" s="132">
        <f t="shared" si="1"/>
        <v>36</v>
      </c>
    </row>
    <row r="47" spans="1:12">
      <c r="A47" s="132">
        <f t="shared" si="0"/>
        <v>37</v>
      </c>
      <c r="B47" s="128" t="s">
        <v>312</v>
      </c>
      <c r="C47" s="232">
        <f>G17</f>
        <v>4561545.4328100001</v>
      </c>
      <c r="D47" s="242">
        <f>C47/C$50</f>
        <v>0.44869817066541096</v>
      </c>
      <c r="E47" s="243">
        <f>G27</f>
        <v>4.2220170759400148E-2</v>
      </c>
      <c r="G47" s="244">
        <f>D47*E47</f>
        <v>1.8944113384924122E-2</v>
      </c>
      <c r="H47" s="244"/>
      <c r="I47" s="227" t="s">
        <v>590</v>
      </c>
      <c r="J47" s="132">
        <f t="shared" si="1"/>
        <v>37</v>
      </c>
    </row>
    <row r="48" spans="1:12">
      <c r="A48" s="132">
        <f t="shared" si="0"/>
        <v>38</v>
      </c>
      <c r="B48" s="128" t="s">
        <v>313</v>
      </c>
      <c r="C48" s="245">
        <f>G30</f>
        <v>0</v>
      </c>
      <c r="D48" s="242">
        <f>C48/C$50</f>
        <v>0</v>
      </c>
      <c r="E48" s="243">
        <f>G32</f>
        <v>0</v>
      </c>
      <c r="G48" s="244">
        <f>D48*E48</f>
        <v>0</v>
      </c>
      <c r="H48" s="244"/>
      <c r="I48" s="227" t="s">
        <v>591</v>
      </c>
      <c r="J48" s="132">
        <f t="shared" si="1"/>
        <v>38</v>
      </c>
    </row>
    <row r="49" spans="1:10">
      <c r="A49" s="132">
        <f t="shared" si="0"/>
        <v>39</v>
      </c>
      <c r="B49" s="128" t="s">
        <v>314</v>
      </c>
      <c r="C49" s="245">
        <f>G39</f>
        <v>5604632.4814999998</v>
      </c>
      <c r="D49" s="591">
        <f>C49/C$50</f>
        <v>0.55130182933458893</v>
      </c>
      <c r="E49" s="246">
        <f>G42</f>
        <v>0.10050000000000001</v>
      </c>
      <c r="G49" s="592">
        <f>D49*E49</f>
        <v>5.5405833848126189E-2</v>
      </c>
      <c r="H49" s="239"/>
      <c r="I49" s="227" t="s">
        <v>592</v>
      </c>
      <c r="J49" s="132">
        <f t="shared" si="1"/>
        <v>39</v>
      </c>
    </row>
    <row r="50" spans="1:10" ht="16" thickBot="1">
      <c r="A50" s="132">
        <f t="shared" si="0"/>
        <v>40</v>
      </c>
      <c r="B50" s="128" t="s">
        <v>315</v>
      </c>
      <c r="C50" s="593">
        <f>SUM(C47:C49)</f>
        <v>10166177.914310001</v>
      </c>
      <c r="D50" s="594">
        <f>SUM(D47:D49)</f>
        <v>0.99999999999999989</v>
      </c>
      <c r="G50" s="586">
        <f>SUM(G47:G49)</f>
        <v>7.4349947233050315E-2</v>
      </c>
      <c r="H50" s="239"/>
      <c r="I50" s="227" t="s">
        <v>593</v>
      </c>
      <c r="J50" s="132">
        <f t="shared" si="1"/>
        <v>40</v>
      </c>
    </row>
    <row r="51" spans="1:10" ht="16" thickTop="1">
      <c r="A51" s="132">
        <f t="shared" si="0"/>
        <v>41</v>
      </c>
      <c r="I51" s="227"/>
      <c r="J51" s="132">
        <f t="shared" si="1"/>
        <v>41</v>
      </c>
    </row>
    <row r="52" spans="1:10" ht="16" thickBot="1">
      <c r="A52" s="132">
        <f t="shared" si="0"/>
        <v>42</v>
      </c>
      <c r="B52" s="221" t="s">
        <v>316</v>
      </c>
      <c r="G52" s="586">
        <f>G48+G49</f>
        <v>5.5405833848126189E-2</v>
      </c>
      <c r="H52" s="239"/>
      <c r="I52" s="227" t="s">
        <v>594</v>
      </c>
      <c r="J52" s="132">
        <f t="shared" si="1"/>
        <v>42</v>
      </c>
    </row>
    <row r="53" spans="1:10" ht="16.5" thickTop="1" thickBot="1">
      <c r="A53" s="497">
        <f>A52+1</f>
        <v>43</v>
      </c>
      <c r="B53" s="498"/>
      <c r="C53" s="498"/>
      <c r="D53" s="498"/>
      <c r="E53" s="498"/>
      <c r="F53" s="498"/>
      <c r="G53" s="498"/>
      <c r="H53" s="498"/>
      <c r="I53" s="589"/>
      <c r="J53" s="497">
        <f>J52+1</f>
        <v>43</v>
      </c>
    </row>
    <row r="54" spans="1:10">
      <c r="A54" s="132">
        <f>A53+1</f>
        <v>44</v>
      </c>
      <c r="I54" s="227"/>
      <c r="J54" s="132">
        <f>J53+1</f>
        <v>44</v>
      </c>
    </row>
    <row r="55" spans="1:10" ht="18.5" thickBot="1">
      <c r="A55" s="132">
        <f t="shared" ref="A55:A65" si="2">A54+1</f>
        <v>45</v>
      </c>
      <c r="B55" s="221" t="s">
        <v>317</v>
      </c>
      <c r="G55" s="590">
        <v>0</v>
      </c>
      <c r="H55" s="505"/>
      <c r="I55" s="236"/>
      <c r="J55" s="132">
        <f t="shared" ref="J55:J65" si="3">J54+1</f>
        <v>45</v>
      </c>
    </row>
    <row r="56" spans="1:10" ht="16" thickTop="1">
      <c r="A56" s="132">
        <f t="shared" si="2"/>
        <v>46</v>
      </c>
      <c r="C56" s="214" t="s">
        <v>7</v>
      </c>
      <c r="D56" s="214" t="s">
        <v>8</v>
      </c>
      <c r="E56" s="214" t="s">
        <v>9</v>
      </c>
      <c r="F56" s="214"/>
      <c r="G56" s="214" t="s">
        <v>304</v>
      </c>
      <c r="H56" s="214"/>
      <c r="I56" s="227"/>
      <c r="J56" s="132">
        <f t="shared" si="3"/>
        <v>46</v>
      </c>
    </row>
    <row r="57" spans="1:10">
      <c r="A57" s="132">
        <f t="shared" si="2"/>
        <v>47</v>
      </c>
      <c r="D57" s="132" t="s">
        <v>305</v>
      </c>
      <c r="E57" s="132" t="s">
        <v>306</v>
      </c>
      <c r="F57" s="132"/>
      <c r="G57" s="132" t="s">
        <v>307</v>
      </c>
      <c r="H57" s="132"/>
      <c r="I57" s="227"/>
      <c r="J57" s="132">
        <f t="shared" si="3"/>
        <v>47</v>
      </c>
    </row>
    <row r="58" spans="1:10" ht="18">
      <c r="A58" s="132">
        <f t="shared" si="2"/>
        <v>48</v>
      </c>
      <c r="B58" s="221" t="s">
        <v>318</v>
      </c>
      <c r="C58" s="561" t="s">
        <v>241</v>
      </c>
      <c r="D58" s="561" t="s">
        <v>309</v>
      </c>
      <c r="E58" s="561" t="s">
        <v>310</v>
      </c>
      <c r="F58" s="561"/>
      <c r="G58" s="561" t="s">
        <v>311</v>
      </c>
      <c r="H58" s="132"/>
      <c r="I58" s="227"/>
      <c r="J58" s="132">
        <f t="shared" si="3"/>
        <v>48</v>
      </c>
    </row>
    <row r="59" spans="1:10">
      <c r="A59" s="132">
        <f t="shared" si="2"/>
        <v>49</v>
      </c>
      <c r="I59" s="227"/>
      <c r="J59" s="132">
        <f t="shared" si="3"/>
        <v>49</v>
      </c>
    </row>
    <row r="60" spans="1:10">
      <c r="A60" s="132">
        <f t="shared" si="2"/>
        <v>50</v>
      </c>
      <c r="B60" s="128" t="s">
        <v>312</v>
      </c>
      <c r="C60" s="232">
        <f>G17</f>
        <v>4561545.4328100001</v>
      </c>
      <c r="D60" s="242">
        <f>C60/C$50</f>
        <v>0.44869817066541096</v>
      </c>
      <c r="E60" s="243">
        <f>G27</f>
        <v>4.2220170759400148E-2</v>
      </c>
      <c r="G60" s="244">
        <f>D60*E60</f>
        <v>1.8944113384924122E-2</v>
      </c>
      <c r="H60" s="244"/>
      <c r="I60" s="227" t="s">
        <v>590</v>
      </c>
      <c r="J60" s="132">
        <f t="shared" si="3"/>
        <v>50</v>
      </c>
    </row>
    <row r="61" spans="1:10">
      <c r="A61" s="132">
        <f t="shared" si="2"/>
        <v>51</v>
      </c>
      <c r="B61" s="128" t="s">
        <v>313</v>
      </c>
      <c r="C61" s="245">
        <f>G30</f>
        <v>0</v>
      </c>
      <c r="D61" s="242">
        <f>C61/C$50</f>
        <v>0</v>
      </c>
      <c r="E61" s="243">
        <f>G32</f>
        <v>0</v>
      </c>
      <c r="G61" s="244">
        <f>D61*E61</f>
        <v>0</v>
      </c>
      <c r="H61" s="244"/>
      <c r="I61" s="227" t="s">
        <v>591</v>
      </c>
      <c r="J61" s="132">
        <f t="shared" si="3"/>
        <v>51</v>
      </c>
    </row>
    <row r="62" spans="1:10">
      <c r="A62" s="132">
        <f t="shared" si="2"/>
        <v>52</v>
      </c>
      <c r="B62" s="128" t="s">
        <v>314</v>
      </c>
      <c r="C62" s="245">
        <f>G39</f>
        <v>5604632.4814999998</v>
      </c>
      <c r="D62" s="591">
        <f>C62/C$50</f>
        <v>0.55130182933458893</v>
      </c>
      <c r="E62" s="246">
        <f>G55</f>
        <v>0</v>
      </c>
      <c r="G62" s="592">
        <f>D62*E62</f>
        <v>0</v>
      </c>
      <c r="H62" s="239"/>
      <c r="I62" s="227" t="s">
        <v>595</v>
      </c>
      <c r="J62" s="132">
        <f t="shared" si="3"/>
        <v>52</v>
      </c>
    </row>
    <row r="63" spans="1:10" ht="16" thickBot="1">
      <c r="A63" s="132">
        <f t="shared" si="2"/>
        <v>53</v>
      </c>
      <c r="B63" s="128" t="s">
        <v>315</v>
      </c>
      <c r="C63" s="593">
        <f>SUM(C60:C62)</f>
        <v>10166177.914310001</v>
      </c>
      <c r="D63" s="586">
        <f>SUM(D60:D62)</f>
        <v>0.99999999999999989</v>
      </c>
      <c r="G63" s="586">
        <f>SUM(G60:G62)</f>
        <v>1.8944113384924122E-2</v>
      </c>
      <c r="H63" s="239"/>
      <c r="I63" s="227" t="s">
        <v>596</v>
      </c>
      <c r="J63" s="132">
        <f t="shared" si="3"/>
        <v>53</v>
      </c>
    </row>
    <row r="64" spans="1:10" ht="16" thickTop="1">
      <c r="A64" s="132">
        <f t="shared" si="2"/>
        <v>54</v>
      </c>
      <c r="I64" s="227"/>
      <c r="J64" s="132">
        <f t="shared" si="3"/>
        <v>54</v>
      </c>
    </row>
    <row r="65" spans="1:10" ht="16" thickBot="1">
      <c r="A65" s="132">
        <f t="shared" si="2"/>
        <v>55</v>
      </c>
      <c r="B65" s="221" t="s">
        <v>319</v>
      </c>
      <c r="G65" s="586">
        <f>G61+G62</f>
        <v>0</v>
      </c>
      <c r="H65" s="239"/>
      <c r="I65" s="227" t="s">
        <v>597</v>
      </c>
      <c r="J65" s="132">
        <f t="shared" si="3"/>
        <v>55</v>
      </c>
    </row>
    <row r="66" spans="1:10" ht="16" thickTop="1">
      <c r="B66" s="221"/>
      <c r="G66" s="247"/>
      <c r="H66" s="247"/>
      <c r="I66" s="227"/>
      <c r="J66" s="132"/>
    </row>
    <row r="67" spans="1:10">
      <c r="B67" s="221"/>
      <c r="G67" s="246"/>
      <c r="H67" s="246"/>
      <c r="I67" s="227"/>
      <c r="J67" s="132"/>
    </row>
    <row r="68" spans="1:10" ht="18">
      <c r="A68" s="234">
        <v>1</v>
      </c>
      <c r="B68" s="1" t="s">
        <v>320</v>
      </c>
      <c r="G68" s="210"/>
      <c r="H68" s="210"/>
      <c r="J68" s="132" t="s">
        <v>6</v>
      </c>
    </row>
    <row r="69" spans="1:10" ht="18">
      <c r="A69" s="234">
        <v>2</v>
      </c>
      <c r="B69" s="1" t="str">
        <f>"The Incentive Return on Common Equity will be tracked and shown separately for each project. As a result, lines "&amp;A55&amp;" through "&amp;A65&amp;" will be repeated for each project."</f>
        <v>The Incentive Return on Common Equity will be tracked and shown separately for each project. As a result, lines 45 through 55 will be repeated for each project.</v>
      </c>
      <c r="G69" s="210"/>
      <c r="H69" s="210"/>
      <c r="J69" s="132"/>
    </row>
    <row r="70" spans="1:10" ht="18">
      <c r="A70" s="234">
        <v>3</v>
      </c>
      <c r="B70" s="1" t="s">
        <v>321</v>
      </c>
      <c r="G70" s="210"/>
      <c r="H70" s="210"/>
      <c r="J70" s="132"/>
    </row>
    <row r="71" spans="1:10" ht="18">
      <c r="A71" s="234"/>
      <c r="B71" s="1"/>
      <c r="G71" s="210"/>
      <c r="H71" s="210"/>
      <c r="J71" s="132"/>
    </row>
    <row r="72" spans="1:10" ht="18">
      <c r="A72" s="234"/>
      <c r="D72" s="132"/>
      <c r="G72" s="210"/>
      <c r="H72" s="210"/>
      <c r="J72" s="132"/>
    </row>
    <row r="73" spans="1:10">
      <c r="B73" s="1028" t="s">
        <v>259</v>
      </c>
      <c r="C73" s="1028"/>
      <c r="D73" s="1028"/>
      <c r="E73" s="1028"/>
      <c r="F73" s="1028"/>
      <c r="G73" s="1028"/>
      <c r="H73" s="1028"/>
      <c r="I73" s="1028"/>
      <c r="J73" s="132"/>
    </row>
    <row r="74" spans="1:10">
      <c r="B74" s="1028" t="s">
        <v>322</v>
      </c>
      <c r="C74" s="1028"/>
      <c r="D74" s="1028"/>
      <c r="E74" s="1028"/>
      <c r="F74" s="1028"/>
      <c r="G74" s="1028"/>
      <c r="H74" s="1028"/>
      <c r="I74" s="1028"/>
      <c r="J74" s="132"/>
    </row>
    <row r="75" spans="1:10">
      <c r="B75" s="1028" t="s">
        <v>261</v>
      </c>
      <c r="C75" s="1028"/>
      <c r="D75" s="1028"/>
      <c r="E75" s="1028"/>
      <c r="F75" s="1028"/>
      <c r="G75" s="1028"/>
      <c r="H75" s="1028"/>
      <c r="I75" s="1028"/>
      <c r="J75" s="132"/>
    </row>
    <row r="76" spans="1:10">
      <c r="B76" s="1029" t="str">
        <f>B5</f>
        <v>Base Period &amp; True-Up Period 12 - Months Ending December 31, 2017</v>
      </c>
      <c r="C76" s="1029"/>
      <c r="D76" s="1029"/>
      <c r="E76" s="1029"/>
      <c r="F76" s="1029"/>
      <c r="G76" s="1029"/>
      <c r="H76" s="1029"/>
      <c r="I76" s="1029"/>
      <c r="J76" s="132"/>
    </row>
    <row r="77" spans="1:10">
      <c r="B77" s="1030" t="s">
        <v>1</v>
      </c>
      <c r="C77" s="1031"/>
      <c r="D77" s="1031"/>
      <c r="E77" s="1031"/>
      <c r="F77" s="1031"/>
      <c r="G77" s="1031"/>
      <c r="H77" s="1031"/>
      <c r="I77" s="1031"/>
      <c r="J77" s="132"/>
    </row>
    <row r="78" spans="1:10">
      <c r="B78" s="132"/>
      <c r="C78" s="132"/>
      <c r="D78" s="132"/>
      <c r="E78" s="132"/>
      <c r="F78" s="132"/>
      <c r="G78" s="132"/>
      <c r="H78" s="132"/>
      <c r="I78" s="227"/>
      <c r="J78" s="132"/>
    </row>
    <row r="79" spans="1:10">
      <c r="A79" s="132" t="s">
        <v>2</v>
      </c>
      <c r="B79" s="505"/>
      <c r="C79" s="505"/>
      <c r="D79" s="505"/>
      <c r="E79" s="505"/>
      <c r="F79" s="505"/>
      <c r="G79" s="505"/>
      <c r="H79" s="505"/>
      <c r="I79" s="227"/>
      <c r="J79" s="132" t="s">
        <v>2</v>
      </c>
    </row>
    <row r="80" spans="1:10">
      <c r="A80" s="132" t="s">
        <v>3</v>
      </c>
      <c r="B80" s="132"/>
      <c r="C80" s="132"/>
      <c r="D80" s="132"/>
      <c r="E80" s="132"/>
      <c r="F80" s="132"/>
      <c r="G80" s="561" t="s">
        <v>33</v>
      </c>
      <c r="H80" s="505"/>
      <c r="I80" s="584" t="s">
        <v>5</v>
      </c>
      <c r="J80" s="132" t="s">
        <v>3</v>
      </c>
    </row>
    <row r="81" spans="1:13">
      <c r="G81" s="132"/>
      <c r="H81" s="132"/>
      <c r="I81" s="227"/>
      <c r="J81" s="132"/>
    </row>
    <row r="82" spans="1:13" ht="17.5">
      <c r="A82" s="132">
        <v>1</v>
      </c>
      <c r="B82" s="221" t="s">
        <v>323</v>
      </c>
      <c r="E82" s="505"/>
      <c r="F82" s="505"/>
      <c r="G82" s="209"/>
      <c r="H82" s="209"/>
      <c r="I82" s="227"/>
      <c r="J82" s="132">
        <v>1</v>
      </c>
    </row>
    <row r="83" spans="1:13">
      <c r="A83" s="132">
        <f>A82+1</f>
        <v>2</v>
      </c>
      <c r="B83" s="248"/>
      <c r="E83" s="505"/>
      <c r="F83" s="505"/>
      <c r="G83" s="209"/>
      <c r="H83" s="209"/>
      <c r="I83" s="227"/>
      <c r="J83" s="132">
        <f>J82+1</f>
        <v>2</v>
      </c>
    </row>
    <row r="84" spans="1:13">
      <c r="A84" s="132">
        <f>A83+1</f>
        <v>3</v>
      </c>
      <c r="B84" s="221" t="s">
        <v>324</v>
      </c>
      <c r="E84" s="505"/>
      <c r="F84" s="505"/>
      <c r="G84" s="209"/>
      <c r="H84" s="209"/>
      <c r="I84" s="227"/>
      <c r="J84" s="132">
        <f>J83+1</f>
        <v>3</v>
      </c>
    </row>
    <row r="85" spans="1:13">
      <c r="A85" s="132">
        <f>A84+1</f>
        <v>4</v>
      </c>
      <c r="B85" s="505"/>
      <c r="C85" s="505"/>
      <c r="D85" s="505"/>
      <c r="E85" s="505"/>
      <c r="F85" s="505"/>
      <c r="G85" s="209"/>
      <c r="H85" s="209"/>
      <c r="I85" s="227"/>
      <c r="J85" s="132">
        <f>J84+1</f>
        <v>4</v>
      </c>
    </row>
    <row r="86" spans="1:13">
      <c r="A86" s="132">
        <f t="shared" ref="A86:A112" si="4">A85+1</f>
        <v>5</v>
      </c>
      <c r="B86" s="216" t="s">
        <v>325</v>
      </c>
      <c r="C86" s="505"/>
      <c r="D86" s="505"/>
      <c r="E86" s="505"/>
      <c r="F86" s="505"/>
      <c r="G86" s="209"/>
      <c r="H86" s="209"/>
      <c r="I86" s="249"/>
      <c r="J86" s="132">
        <f t="shared" ref="J86:J112" si="5">J85+1</f>
        <v>5</v>
      </c>
    </row>
    <row r="87" spans="1:13">
      <c r="A87" s="132">
        <f t="shared" si="4"/>
        <v>6</v>
      </c>
      <c r="B87" s="128" t="s">
        <v>326</v>
      </c>
      <c r="D87" s="505"/>
      <c r="E87" s="505"/>
      <c r="F87" s="505"/>
      <c r="G87" s="250">
        <f>G52</f>
        <v>5.5405833848126189E-2</v>
      </c>
      <c r="H87" s="505"/>
      <c r="I87" s="227" t="s">
        <v>598</v>
      </c>
      <c r="J87" s="132">
        <f t="shared" si="5"/>
        <v>6</v>
      </c>
      <c r="L87" s="132"/>
    </row>
    <row r="88" spans="1:13">
      <c r="A88" s="132">
        <f t="shared" si="4"/>
        <v>7</v>
      </c>
      <c r="B88" s="128" t="s">
        <v>327</v>
      </c>
      <c r="D88" s="505"/>
      <c r="E88" s="505"/>
      <c r="F88" s="505"/>
      <c r="G88" s="251">
        <v>264.76299999999998</v>
      </c>
      <c r="H88" s="505"/>
      <c r="I88" s="227" t="s">
        <v>599</v>
      </c>
      <c r="J88" s="132">
        <f t="shared" si="5"/>
        <v>7</v>
      </c>
      <c r="L88" s="132"/>
    </row>
    <row r="89" spans="1:13" ht="18">
      <c r="A89" s="132">
        <f t="shared" si="4"/>
        <v>8</v>
      </c>
      <c r="B89" s="128" t="s">
        <v>328</v>
      </c>
      <c r="D89" s="505"/>
      <c r="E89" s="505"/>
      <c r="F89" s="505"/>
      <c r="G89" s="252">
        <v>5524.3721700000006</v>
      </c>
      <c r="H89" s="505"/>
      <c r="I89" s="236" t="s">
        <v>600</v>
      </c>
      <c r="J89" s="132">
        <f t="shared" si="5"/>
        <v>8</v>
      </c>
      <c r="L89" s="505"/>
    </row>
    <row r="90" spans="1:13">
      <c r="A90" s="132">
        <f t="shared" si="4"/>
        <v>9</v>
      </c>
      <c r="B90" s="128" t="s">
        <v>329</v>
      </c>
      <c r="D90" s="505"/>
      <c r="E90" s="253"/>
      <c r="F90" s="505"/>
      <c r="G90" s="805">
        <f>'Pg13 Rev AV-4'!C36</f>
        <v>3771055.3604702014</v>
      </c>
      <c r="H90" s="671" t="s">
        <v>460</v>
      </c>
      <c r="I90" s="236" t="s">
        <v>796</v>
      </c>
      <c r="J90" s="132">
        <f t="shared" si="5"/>
        <v>9</v>
      </c>
    </row>
    <row r="91" spans="1:13">
      <c r="A91" s="132">
        <f t="shared" si="4"/>
        <v>10</v>
      </c>
      <c r="B91" s="128" t="s">
        <v>330</v>
      </c>
      <c r="D91" s="254"/>
      <c r="E91" s="505"/>
      <c r="F91" s="505"/>
      <c r="G91" s="595">
        <v>0.21</v>
      </c>
      <c r="H91" s="505"/>
      <c r="I91" s="227" t="s">
        <v>331</v>
      </c>
      <c r="J91" s="132">
        <f t="shared" si="5"/>
        <v>10</v>
      </c>
      <c r="M91" s="255"/>
    </row>
    <row r="92" spans="1:13">
      <c r="A92" s="132">
        <f t="shared" si="4"/>
        <v>11</v>
      </c>
      <c r="G92" s="132"/>
      <c r="H92" s="132"/>
      <c r="J92" s="132">
        <f t="shared" si="5"/>
        <v>11</v>
      </c>
    </row>
    <row r="93" spans="1:13">
      <c r="A93" s="132">
        <f t="shared" si="4"/>
        <v>12</v>
      </c>
      <c r="B93" s="128" t="s">
        <v>332</v>
      </c>
      <c r="D93" s="505"/>
      <c r="E93" s="505"/>
      <c r="F93" s="505"/>
      <c r="G93" s="256">
        <f>(((G87)+(G89/G90))*G91-(G88/G90))/(1-G91)</f>
        <v>1.5028675163969153E-2</v>
      </c>
      <c r="H93" s="671"/>
      <c r="I93" s="227" t="s">
        <v>333</v>
      </c>
      <c r="J93" s="132">
        <f t="shared" si="5"/>
        <v>12</v>
      </c>
      <c r="M93" s="257"/>
    </row>
    <row r="94" spans="1:13">
      <c r="A94" s="132">
        <f t="shared" si="4"/>
        <v>13</v>
      </c>
      <c r="B94" s="258" t="s">
        <v>334</v>
      </c>
      <c r="G94" s="132"/>
      <c r="H94" s="132"/>
      <c r="J94" s="132">
        <f t="shared" si="5"/>
        <v>13</v>
      </c>
    </row>
    <row r="95" spans="1:13">
      <c r="A95" s="132">
        <f t="shared" si="4"/>
        <v>14</v>
      </c>
      <c r="G95" s="132"/>
      <c r="H95" s="132"/>
      <c r="J95" s="132">
        <f t="shared" si="5"/>
        <v>14</v>
      </c>
    </row>
    <row r="96" spans="1:13">
      <c r="A96" s="132">
        <f t="shared" si="4"/>
        <v>15</v>
      </c>
      <c r="B96" s="221" t="s">
        <v>335</v>
      </c>
      <c r="C96" s="505"/>
      <c r="D96" s="505"/>
      <c r="E96" s="505"/>
      <c r="F96" s="505"/>
      <c r="G96" s="259"/>
      <c r="H96" s="259"/>
      <c r="I96" s="260"/>
      <c r="J96" s="132">
        <f t="shared" si="5"/>
        <v>15</v>
      </c>
      <c r="L96" s="261"/>
    </row>
    <row r="97" spans="1:13">
      <c r="A97" s="132">
        <f t="shared" si="4"/>
        <v>16</v>
      </c>
      <c r="B97" s="228"/>
      <c r="C97" s="505"/>
      <c r="D97" s="505"/>
      <c r="E97" s="505"/>
      <c r="F97" s="505"/>
      <c r="G97" s="259"/>
      <c r="H97" s="259"/>
      <c r="I97" s="262"/>
      <c r="J97" s="132">
        <f t="shared" si="5"/>
        <v>16</v>
      </c>
      <c r="L97" s="505"/>
    </row>
    <row r="98" spans="1:13">
      <c r="A98" s="132">
        <f t="shared" si="4"/>
        <v>17</v>
      </c>
      <c r="B98" s="216" t="s">
        <v>325</v>
      </c>
      <c r="C98" s="505"/>
      <c r="D98" s="505"/>
      <c r="E98" s="505"/>
      <c r="F98" s="505"/>
      <c r="G98" s="259"/>
      <c r="H98" s="259"/>
      <c r="I98" s="262"/>
      <c r="J98" s="132">
        <f t="shared" si="5"/>
        <v>17</v>
      </c>
      <c r="L98" s="505"/>
    </row>
    <row r="99" spans="1:13">
      <c r="A99" s="132">
        <f t="shared" si="4"/>
        <v>18</v>
      </c>
      <c r="B99" s="128" t="s">
        <v>326</v>
      </c>
      <c r="D99" s="505"/>
      <c r="E99" s="505"/>
      <c r="F99" s="505"/>
      <c r="G99" s="242">
        <f>G87</f>
        <v>5.5405833848126189E-2</v>
      </c>
      <c r="H99" s="242"/>
      <c r="I99" s="227" t="s">
        <v>509</v>
      </c>
      <c r="J99" s="132">
        <f t="shared" si="5"/>
        <v>18</v>
      </c>
      <c r="L99" s="132"/>
    </row>
    <row r="100" spans="1:13">
      <c r="A100" s="132">
        <f t="shared" si="4"/>
        <v>19</v>
      </c>
      <c r="B100" s="128" t="s">
        <v>336</v>
      </c>
      <c r="D100" s="505"/>
      <c r="E100" s="505"/>
      <c r="F100" s="505"/>
      <c r="G100" s="183">
        <f>G89</f>
        <v>5524.3721700000006</v>
      </c>
      <c r="H100" s="183"/>
      <c r="I100" s="227" t="s">
        <v>601</v>
      </c>
      <c r="J100" s="132">
        <f t="shared" si="5"/>
        <v>19</v>
      </c>
      <c r="L100" s="132"/>
    </row>
    <row r="101" spans="1:13">
      <c r="A101" s="132">
        <f t="shared" si="4"/>
        <v>20</v>
      </c>
      <c r="B101" s="128" t="s">
        <v>337</v>
      </c>
      <c r="D101" s="505"/>
      <c r="E101" s="505"/>
      <c r="F101" s="505"/>
      <c r="G101" s="828">
        <f>G90</f>
        <v>3771055.3604702014</v>
      </c>
      <c r="H101" s="671" t="s">
        <v>460</v>
      </c>
      <c r="I101" s="227" t="s">
        <v>602</v>
      </c>
      <c r="J101" s="132">
        <f t="shared" si="5"/>
        <v>20</v>
      </c>
      <c r="L101" s="132"/>
    </row>
    <row r="102" spans="1:13">
      <c r="A102" s="132">
        <f t="shared" si="4"/>
        <v>21</v>
      </c>
      <c r="B102" s="128" t="s">
        <v>338</v>
      </c>
      <c r="D102" s="505"/>
      <c r="E102" s="505"/>
      <c r="F102" s="505"/>
      <c r="G102" s="263">
        <f>G93</f>
        <v>1.5028675163969153E-2</v>
      </c>
      <c r="H102" s="671"/>
      <c r="I102" s="227" t="s">
        <v>603</v>
      </c>
      <c r="J102" s="132">
        <f t="shared" si="5"/>
        <v>21</v>
      </c>
    </row>
    <row r="103" spans="1:13">
      <c r="A103" s="132">
        <f t="shared" si="4"/>
        <v>22</v>
      </c>
      <c r="B103" s="128" t="s">
        <v>339</v>
      </c>
      <c r="D103" s="505"/>
      <c r="E103" s="505"/>
      <c r="F103" s="505"/>
      <c r="G103" s="596" t="s">
        <v>340</v>
      </c>
      <c r="H103" s="505"/>
      <c r="I103" s="227" t="s">
        <v>341</v>
      </c>
      <c r="J103" s="132">
        <f t="shared" si="5"/>
        <v>22</v>
      </c>
    </row>
    <row r="104" spans="1:13">
      <c r="A104" s="132">
        <f t="shared" si="4"/>
        <v>23</v>
      </c>
      <c r="B104" s="131"/>
      <c r="D104" s="505"/>
      <c r="E104" s="505"/>
      <c r="F104" s="505"/>
      <c r="G104" s="264"/>
      <c r="H104" s="264"/>
      <c r="I104" s="262"/>
      <c r="J104" s="132">
        <f t="shared" si="5"/>
        <v>23</v>
      </c>
    </row>
    <row r="105" spans="1:13">
      <c r="A105" s="132">
        <f t="shared" si="4"/>
        <v>24</v>
      </c>
      <c r="B105" s="128" t="s">
        <v>342</v>
      </c>
      <c r="C105" s="132"/>
      <c r="D105" s="132"/>
      <c r="E105" s="505"/>
      <c r="F105" s="505"/>
      <c r="G105" s="597">
        <f>((G99)+(G100/G101)+G93)*G103/(1-G103)</f>
        <v>6.9722590470534E-3</v>
      </c>
      <c r="H105" s="671"/>
      <c r="I105" s="227" t="s">
        <v>343</v>
      </c>
      <c r="J105" s="132">
        <f t="shared" si="5"/>
        <v>24</v>
      </c>
    </row>
    <row r="106" spans="1:13">
      <c r="A106" s="132">
        <f t="shared" si="4"/>
        <v>25</v>
      </c>
      <c r="B106" s="258" t="s">
        <v>344</v>
      </c>
      <c r="G106" s="132"/>
      <c r="H106" s="132"/>
      <c r="I106" s="227"/>
      <c r="J106" s="132">
        <f t="shared" si="5"/>
        <v>25</v>
      </c>
      <c r="L106" s="132"/>
    </row>
    <row r="107" spans="1:13">
      <c r="A107" s="132">
        <f t="shared" si="4"/>
        <v>26</v>
      </c>
      <c r="G107" s="132"/>
      <c r="H107" s="132"/>
      <c r="I107" s="227"/>
      <c r="J107" s="132">
        <f t="shared" si="5"/>
        <v>26</v>
      </c>
      <c r="L107" s="132"/>
    </row>
    <row r="108" spans="1:13">
      <c r="A108" s="132">
        <f t="shared" si="4"/>
        <v>27</v>
      </c>
      <c r="B108" s="221" t="s">
        <v>345</v>
      </c>
      <c r="G108" s="256">
        <f>G105+G93</f>
        <v>2.2000934211022553E-2</v>
      </c>
      <c r="H108" s="671"/>
      <c r="I108" s="227" t="s">
        <v>604</v>
      </c>
      <c r="J108" s="132">
        <f t="shared" si="5"/>
        <v>27</v>
      </c>
      <c r="L108" s="132"/>
    </row>
    <row r="109" spans="1:13">
      <c r="A109" s="132">
        <f t="shared" si="4"/>
        <v>28</v>
      </c>
      <c r="G109" s="132"/>
      <c r="H109" s="132"/>
      <c r="I109" s="227"/>
      <c r="J109" s="132">
        <f t="shared" si="5"/>
        <v>28</v>
      </c>
      <c r="L109" s="132"/>
    </row>
    <row r="110" spans="1:13">
      <c r="A110" s="132">
        <f t="shared" si="4"/>
        <v>29</v>
      </c>
      <c r="B110" s="221" t="s">
        <v>346</v>
      </c>
      <c r="G110" s="598">
        <f>G50</f>
        <v>7.4349947233050315E-2</v>
      </c>
      <c r="H110" s="505"/>
      <c r="I110" s="227" t="s">
        <v>605</v>
      </c>
      <c r="J110" s="132">
        <f t="shared" si="5"/>
        <v>29</v>
      </c>
      <c r="L110" s="132"/>
    </row>
    <row r="111" spans="1:13">
      <c r="A111" s="132">
        <f t="shared" si="4"/>
        <v>30</v>
      </c>
      <c r="G111" s="242"/>
      <c r="H111" s="242"/>
      <c r="I111" s="227"/>
      <c r="J111" s="132">
        <f t="shared" si="5"/>
        <v>30</v>
      </c>
      <c r="L111" s="132"/>
    </row>
    <row r="112" spans="1:13" ht="18" thickBot="1">
      <c r="A112" s="132">
        <f t="shared" si="4"/>
        <v>31</v>
      </c>
      <c r="B112" s="221" t="s">
        <v>347</v>
      </c>
      <c r="G112" s="599">
        <f>G108+G110</f>
        <v>9.6350881444072861E-2</v>
      </c>
      <c r="H112" s="671"/>
      <c r="I112" s="227" t="s">
        <v>606</v>
      </c>
      <c r="J112" s="132">
        <f t="shared" si="5"/>
        <v>31</v>
      </c>
      <c r="L112" s="266"/>
      <c r="M112" s="257"/>
    </row>
    <row r="113" spans="1:13" ht="16" thickTop="1">
      <c r="B113" s="221"/>
      <c r="G113" s="267"/>
      <c r="H113" s="267"/>
      <c r="I113" s="227"/>
      <c r="J113" s="132"/>
      <c r="L113" s="266"/>
      <c r="M113" s="257"/>
    </row>
    <row r="114" spans="1:13">
      <c r="B114" s="221"/>
      <c r="G114" s="267"/>
      <c r="H114" s="267"/>
      <c r="I114" s="227"/>
      <c r="J114" s="132"/>
      <c r="L114" s="266"/>
      <c r="M114" s="257"/>
    </row>
    <row r="115" spans="1:13">
      <c r="A115" s="671" t="s">
        <v>460</v>
      </c>
      <c r="B115" s="111" t="str">
        <f>'Pg10 Rev Stmt AL'!B32</f>
        <v>Items in BOLD have changed to correct the over-allocation of "Duplicate Charges (Company Energy Use)" Credit in FERC Account no. 929.</v>
      </c>
      <c r="G115" s="267"/>
      <c r="H115" s="267"/>
      <c r="I115" s="227"/>
      <c r="J115" s="132"/>
      <c r="L115" s="266"/>
      <c r="M115" s="257"/>
    </row>
    <row r="116" spans="1:13" ht="18.5">
      <c r="A116" s="213">
        <v>1</v>
      </c>
      <c r="B116" s="1" t="s">
        <v>348</v>
      </c>
      <c r="G116" s="267"/>
      <c r="H116" s="267"/>
      <c r="I116" s="227"/>
      <c r="J116" s="132"/>
      <c r="L116" s="266"/>
      <c r="M116" s="257"/>
    </row>
    <row r="117" spans="1:13" ht="18.5">
      <c r="A117" s="213"/>
      <c r="B117" s="1"/>
      <c r="G117" s="267"/>
      <c r="H117" s="267"/>
      <c r="I117" s="227"/>
      <c r="J117" s="132"/>
      <c r="L117" s="266"/>
      <c r="M117" s="257"/>
    </row>
    <row r="118" spans="1:13">
      <c r="A118" s="268"/>
      <c r="B118" s="131"/>
      <c r="C118" s="269"/>
      <c r="D118" s="269"/>
      <c r="E118" s="269"/>
      <c r="F118" s="269"/>
      <c r="G118" s="270"/>
      <c r="H118" s="270"/>
      <c r="I118" s="271"/>
      <c r="J118" s="132"/>
    </row>
    <row r="119" spans="1:13">
      <c r="B119" s="1028" t="s">
        <v>0</v>
      </c>
      <c r="C119" s="1028"/>
      <c r="D119" s="1028"/>
      <c r="E119" s="1028"/>
      <c r="F119" s="1028"/>
      <c r="G119" s="1028"/>
      <c r="H119" s="1028"/>
      <c r="I119" s="1028"/>
      <c r="J119" s="132"/>
    </row>
    <row r="120" spans="1:13">
      <c r="B120" s="1028" t="s">
        <v>322</v>
      </c>
      <c r="C120" s="1028"/>
      <c r="D120" s="1028"/>
      <c r="E120" s="1028"/>
      <c r="F120" s="1028"/>
      <c r="G120" s="1028"/>
      <c r="H120" s="1028"/>
      <c r="I120" s="1028"/>
      <c r="J120" s="132"/>
    </row>
    <row r="121" spans="1:13">
      <c r="B121" s="1028" t="s">
        <v>261</v>
      </c>
      <c r="C121" s="1028"/>
      <c r="D121" s="1028"/>
      <c r="E121" s="1028"/>
      <c r="F121" s="1028"/>
      <c r="G121" s="1028"/>
      <c r="H121" s="1028"/>
      <c r="I121" s="1028"/>
      <c r="J121" s="132"/>
    </row>
    <row r="122" spans="1:13">
      <c r="B122" s="1029" t="str">
        <f>B5</f>
        <v>Base Period &amp; True-Up Period 12 - Months Ending December 31, 2017</v>
      </c>
      <c r="C122" s="1029"/>
      <c r="D122" s="1029"/>
      <c r="E122" s="1029"/>
      <c r="F122" s="1029"/>
      <c r="G122" s="1029"/>
      <c r="H122" s="1029"/>
      <c r="I122" s="1029"/>
      <c r="J122" s="132"/>
    </row>
    <row r="123" spans="1:13">
      <c r="B123" s="1030" t="s">
        <v>1</v>
      </c>
      <c r="C123" s="1031"/>
      <c r="D123" s="1031"/>
      <c r="E123" s="1031"/>
      <c r="F123" s="1031"/>
      <c r="G123" s="1031"/>
      <c r="H123" s="1031"/>
      <c r="I123" s="1031"/>
      <c r="J123" s="132"/>
    </row>
    <row r="124" spans="1:13">
      <c r="B124" s="132"/>
      <c r="C124" s="132"/>
      <c r="D124" s="132"/>
      <c r="E124" s="132"/>
      <c r="F124" s="132"/>
      <c r="G124" s="505"/>
      <c r="H124" s="505"/>
      <c r="I124" s="227"/>
      <c r="J124" s="132"/>
    </row>
    <row r="125" spans="1:13">
      <c r="A125" s="132" t="s">
        <v>2</v>
      </c>
      <c r="B125" s="505"/>
      <c r="C125" s="505"/>
      <c r="D125" s="505"/>
      <c r="E125" s="505"/>
      <c r="F125" s="505"/>
      <c r="G125" s="505"/>
      <c r="H125" s="505"/>
      <c r="I125" s="227"/>
      <c r="J125" s="132" t="s">
        <v>2</v>
      </c>
    </row>
    <row r="126" spans="1:13">
      <c r="A126" s="132" t="s">
        <v>3</v>
      </c>
      <c r="B126" s="132"/>
      <c r="C126" s="132"/>
      <c r="D126" s="132"/>
      <c r="E126" s="132"/>
      <c r="F126" s="132"/>
      <c r="G126" s="561" t="s">
        <v>33</v>
      </c>
      <c r="H126" s="505"/>
      <c r="I126" s="584" t="s">
        <v>5</v>
      </c>
      <c r="J126" s="132" t="s">
        <v>3</v>
      </c>
    </row>
    <row r="127" spans="1:13">
      <c r="G127" s="132"/>
      <c r="H127" s="132"/>
      <c r="I127" s="227"/>
      <c r="J127" s="132"/>
    </row>
    <row r="128" spans="1:13" ht="18">
      <c r="A128" s="132">
        <v>1</v>
      </c>
      <c r="B128" s="221" t="s">
        <v>349</v>
      </c>
      <c r="E128" s="505"/>
      <c r="F128" s="505"/>
      <c r="G128" s="209"/>
      <c r="H128" s="209"/>
      <c r="I128" s="227"/>
      <c r="J128" s="132">
        <v>1</v>
      </c>
    </row>
    <row r="129" spans="1:10">
      <c r="A129" s="132">
        <f>A128+1</f>
        <v>2</v>
      </c>
      <c r="B129" s="248"/>
      <c r="E129" s="505"/>
      <c r="F129" s="505"/>
      <c r="G129" s="209"/>
      <c r="H129" s="209"/>
      <c r="I129" s="227"/>
      <c r="J129" s="132">
        <f>J128+1</f>
        <v>2</v>
      </c>
    </row>
    <row r="130" spans="1:10">
      <c r="A130" s="132">
        <f>A129+1</f>
        <v>3</v>
      </c>
      <c r="B130" s="221" t="s">
        <v>324</v>
      </c>
      <c r="E130" s="505"/>
      <c r="F130" s="505"/>
      <c r="G130" s="209"/>
      <c r="H130" s="209"/>
      <c r="I130" s="227"/>
      <c r="J130" s="132">
        <f>J129+1</f>
        <v>3</v>
      </c>
    </row>
    <row r="131" spans="1:10">
      <c r="A131" s="132">
        <f>A130+1</f>
        <v>4</v>
      </c>
      <c r="B131" s="505"/>
      <c r="C131" s="505"/>
      <c r="D131" s="505"/>
      <c r="E131" s="505"/>
      <c r="F131" s="505"/>
      <c r="G131" s="209"/>
      <c r="H131" s="209"/>
      <c r="I131" s="227"/>
      <c r="J131" s="132">
        <f>J130+1</f>
        <v>4</v>
      </c>
    </row>
    <row r="132" spans="1:10">
      <c r="A132" s="132">
        <f t="shared" ref="A132:A158" si="6">A131+1</f>
        <v>5</v>
      </c>
      <c r="B132" s="216" t="s">
        <v>325</v>
      </c>
      <c r="C132" s="505"/>
      <c r="D132" s="505"/>
      <c r="E132" s="505"/>
      <c r="F132" s="505"/>
      <c r="G132" s="209"/>
      <c r="H132" s="209"/>
      <c r="I132" s="249"/>
      <c r="J132" s="132">
        <f t="shared" ref="J132:J158" si="7">J131+1</f>
        <v>5</v>
      </c>
    </row>
    <row r="133" spans="1:10">
      <c r="A133" s="132">
        <f t="shared" si="6"/>
        <v>6</v>
      </c>
      <c r="B133" s="128" t="str">
        <f>B87</f>
        <v xml:space="preserve">     A = Sum of Preferred Stock and Return on Equity Component</v>
      </c>
      <c r="D133" s="505"/>
      <c r="E133" s="505"/>
      <c r="F133" s="505"/>
      <c r="G133" s="250">
        <f>G65</f>
        <v>0</v>
      </c>
      <c r="H133" s="505"/>
      <c r="I133" s="227" t="s">
        <v>607</v>
      </c>
      <c r="J133" s="132">
        <f t="shared" si="7"/>
        <v>6</v>
      </c>
    </row>
    <row r="134" spans="1:10">
      <c r="A134" s="132">
        <f t="shared" si="6"/>
        <v>7</v>
      </c>
      <c r="B134" s="128" t="str">
        <f>B88</f>
        <v xml:space="preserve">     B = Transmission Total Federal Tax Adjustments</v>
      </c>
      <c r="D134" s="505"/>
      <c r="E134" s="505"/>
      <c r="F134" s="505"/>
      <c r="G134" s="272">
        <v>0</v>
      </c>
      <c r="H134" s="505"/>
      <c r="I134" s="227" t="s">
        <v>350</v>
      </c>
      <c r="J134" s="132">
        <f t="shared" si="7"/>
        <v>7</v>
      </c>
    </row>
    <row r="135" spans="1:10" ht="18">
      <c r="A135" s="132">
        <f t="shared" si="6"/>
        <v>8</v>
      </c>
      <c r="B135" s="128" t="s">
        <v>328</v>
      </c>
      <c r="D135" s="505"/>
      <c r="E135" s="505"/>
      <c r="F135" s="505"/>
      <c r="G135" s="252">
        <v>0</v>
      </c>
      <c r="H135" s="505"/>
      <c r="I135" s="236"/>
      <c r="J135" s="132">
        <f t="shared" si="7"/>
        <v>8</v>
      </c>
    </row>
    <row r="136" spans="1:10">
      <c r="A136" s="132">
        <f t="shared" si="6"/>
        <v>9</v>
      </c>
      <c r="B136" s="128" t="s">
        <v>351</v>
      </c>
      <c r="D136" s="505"/>
      <c r="E136" s="505"/>
      <c r="F136" s="505"/>
      <c r="G136" s="251">
        <v>0</v>
      </c>
      <c r="H136" s="505"/>
      <c r="I136" s="227" t="s">
        <v>608</v>
      </c>
      <c r="J136" s="132">
        <f t="shared" si="7"/>
        <v>9</v>
      </c>
    </row>
    <row r="137" spans="1:10">
      <c r="A137" s="132">
        <f t="shared" si="6"/>
        <v>10</v>
      </c>
      <c r="B137" s="128" t="str">
        <f>B91</f>
        <v xml:space="preserve">     FT = Federal Income Tax Rate for Rate Effective Period</v>
      </c>
      <c r="D137" s="505"/>
      <c r="E137" s="505"/>
      <c r="F137" s="505"/>
      <c r="G137" s="600">
        <f>G91</f>
        <v>0.21</v>
      </c>
      <c r="H137" s="505"/>
      <c r="I137" s="227" t="s">
        <v>609</v>
      </c>
      <c r="J137" s="132">
        <f t="shared" si="7"/>
        <v>10</v>
      </c>
    </row>
    <row r="138" spans="1:10">
      <c r="A138" s="132">
        <f t="shared" si="6"/>
        <v>11</v>
      </c>
      <c r="G138" s="132"/>
      <c r="H138" s="132"/>
      <c r="J138" s="132">
        <f t="shared" si="7"/>
        <v>11</v>
      </c>
    </row>
    <row r="139" spans="1:10">
      <c r="A139" s="132">
        <f t="shared" si="6"/>
        <v>12</v>
      </c>
      <c r="B139" s="128" t="s">
        <v>352</v>
      </c>
      <c r="D139" s="505"/>
      <c r="E139" s="505"/>
      <c r="F139" s="505"/>
      <c r="G139" s="256">
        <f>IFERROR((((G133)+(G135/G136))*G137-(G134/G136))/(1-G137),0)</f>
        <v>0</v>
      </c>
      <c r="H139" s="256"/>
      <c r="I139" s="227" t="s">
        <v>353</v>
      </c>
      <c r="J139" s="132">
        <f t="shared" si="7"/>
        <v>12</v>
      </c>
    </row>
    <row r="140" spans="1:10">
      <c r="A140" s="132">
        <f t="shared" si="6"/>
        <v>13</v>
      </c>
      <c r="B140" s="258" t="s">
        <v>334</v>
      </c>
      <c r="D140" s="258"/>
      <c r="G140" s="273"/>
      <c r="H140" s="273"/>
      <c r="J140" s="132">
        <f t="shared" si="7"/>
        <v>13</v>
      </c>
    </row>
    <row r="141" spans="1:10">
      <c r="A141" s="132">
        <f t="shared" si="6"/>
        <v>14</v>
      </c>
      <c r="G141" s="132"/>
      <c r="H141" s="132"/>
      <c r="J141" s="132">
        <f t="shared" si="7"/>
        <v>14</v>
      </c>
    </row>
    <row r="142" spans="1:10">
      <c r="A142" s="132">
        <f t="shared" si="6"/>
        <v>15</v>
      </c>
      <c r="B142" s="221" t="s">
        <v>335</v>
      </c>
      <c r="C142" s="505"/>
      <c r="D142" s="505"/>
      <c r="E142" s="505"/>
      <c r="F142" s="505"/>
      <c r="G142" s="259"/>
      <c r="H142" s="259"/>
      <c r="I142" s="260"/>
      <c r="J142" s="132">
        <f t="shared" si="7"/>
        <v>15</v>
      </c>
    </row>
    <row r="143" spans="1:10">
      <c r="A143" s="132">
        <f t="shared" si="6"/>
        <v>16</v>
      </c>
      <c r="B143" s="228"/>
      <c r="C143" s="505"/>
      <c r="D143" s="505"/>
      <c r="E143" s="505"/>
      <c r="F143" s="505"/>
      <c r="G143" s="259"/>
      <c r="H143" s="259"/>
      <c r="I143" s="249"/>
      <c r="J143" s="132">
        <f t="shared" si="7"/>
        <v>16</v>
      </c>
    </row>
    <row r="144" spans="1:10">
      <c r="A144" s="132">
        <f t="shared" si="6"/>
        <v>17</v>
      </c>
      <c r="B144" s="216" t="s">
        <v>325</v>
      </c>
      <c r="C144" s="505"/>
      <c r="D144" s="505"/>
      <c r="E144" s="505"/>
      <c r="F144" s="505"/>
      <c r="G144" s="259"/>
      <c r="H144" s="259"/>
      <c r="I144" s="249"/>
      <c r="J144" s="132">
        <f t="shared" si="7"/>
        <v>17</v>
      </c>
    </row>
    <row r="145" spans="1:10">
      <c r="A145" s="132">
        <f t="shared" si="6"/>
        <v>18</v>
      </c>
      <c r="B145" s="128" t="str">
        <f>B99</f>
        <v xml:space="preserve">     A = Sum of Preferred Stock and Return on Equity Component</v>
      </c>
      <c r="D145" s="505"/>
      <c r="E145" s="505"/>
      <c r="F145" s="505"/>
      <c r="G145" s="242">
        <f>G133</f>
        <v>0</v>
      </c>
      <c r="H145" s="242"/>
      <c r="I145" s="227" t="s">
        <v>509</v>
      </c>
      <c r="J145" s="132">
        <f t="shared" si="7"/>
        <v>18</v>
      </c>
    </row>
    <row r="146" spans="1:10">
      <c r="A146" s="132">
        <f t="shared" si="6"/>
        <v>19</v>
      </c>
      <c r="B146" s="128" t="str">
        <f>B100</f>
        <v xml:space="preserve">     B = Equity AFUDC Component of Transmission Depreciation Expense</v>
      </c>
      <c r="D146" s="505"/>
      <c r="E146" s="505"/>
      <c r="F146" s="505"/>
      <c r="G146" s="183">
        <f>G135</f>
        <v>0</v>
      </c>
      <c r="H146" s="183"/>
      <c r="I146" s="227" t="s">
        <v>601</v>
      </c>
      <c r="J146" s="132">
        <f t="shared" si="7"/>
        <v>19</v>
      </c>
    </row>
    <row r="147" spans="1:10">
      <c r="A147" s="132">
        <f t="shared" si="6"/>
        <v>20</v>
      </c>
      <c r="B147" s="128" t="s">
        <v>354</v>
      </c>
      <c r="D147" s="505"/>
      <c r="E147" s="505"/>
      <c r="F147" s="505"/>
      <c r="G147" s="183">
        <f>G136</f>
        <v>0</v>
      </c>
      <c r="H147" s="183"/>
      <c r="I147" s="227" t="s">
        <v>602</v>
      </c>
      <c r="J147" s="132">
        <f t="shared" si="7"/>
        <v>20</v>
      </c>
    </row>
    <row r="148" spans="1:10">
      <c r="A148" s="132">
        <f t="shared" si="6"/>
        <v>21</v>
      </c>
      <c r="B148" s="128" t="str">
        <f>B102</f>
        <v xml:space="preserve">     FT = Federal Income Tax Expense</v>
      </c>
      <c r="D148" s="505"/>
      <c r="E148" s="505"/>
      <c r="F148" s="505"/>
      <c r="G148" s="263">
        <f>G139</f>
        <v>0</v>
      </c>
      <c r="H148" s="263"/>
      <c r="I148" s="227" t="s">
        <v>603</v>
      </c>
      <c r="J148" s="132">
        <f t="shared" si="7"/>
        <v>21</v>
      </c>
    </row>
    <row r="149" spans="1:10">
      <c r="A149" s="132">
        <f t="shared" si="6"/>
        <v>22</v>
      </c>
      <c r="B149" s="128" t="str">
        <f>B103</f>
        <v xml:space="preserve">     ST = State Income Tax Rate for Rate Effective Period</v>
      </c>
      <c r="D149" s="505"/>
      <c r="E149" s="505"/>
      <c r="F149" s="505"/>
      <c r="G149" s="601" t="str">
        <f>G103</f>
        <v>8.84%</v>
      </c>
      <c r="H149" s="505"/>
      <c r="I149" s="227" t="s">
        <v>610</v>
      </c>
      <c r="J149" s="132">
        <f t="shared" si="7"/>
        <v>22</v>
      </c>
    </row>
    <row r="150" spans="1:10">
      <c r="A150" s="132">
        <f t="shared" si="6"/>
        <v>23</v>
      </c>
      <c r="B150" s="131"/>
      <c r="D150" s="505"/>
      <c r="E150" s="505"/>
      <c r="F150" s="505"/>
      <c r="G150" s="264"/>
      <c r="H150" s="264"/>
      <c r="I150" s="262"/>
      <c r="J150" s="132">
        <f t="shared" si="7"/>
        <v>23</v>
      </c>
    </row>
    <row r="151" spans="1:10">
      <c r="A151" s="132">
        <f t="shared" si="6"/>
        <v>24</v>
      </c>
      <c r="B151" s="128" t="s">
        <v>342</v>
      </c>
      <c r="C151" s="132"/>
      <c r="D151" s="132"/>
      <c r="E151" s="505"/>
      <c r="F151" s="505"/>
      <c r="G151" s="597">
        <f>IFERROR(((G145)+(G146/G147)+G139)*G149/(1-G149),0)</f>
        <v>0</v>
      </c>
      <c r="H151" s="265"/>
      <c r="I151" s="227" t="s">
        <v>343</v>
      </c>
      <c r="J151" s="132">
        <f t="shared" si="7"/>
        <v>24</v>
      </c>
    </row>
    <row r="152" spans="1:10">
      <c r="A152" s="132">
        <f t="shared" si="6"/>
        <v>25</v>
      </c>
      <c r="B152" s="258" t="s">
        <v>344</v>
      </c>
      <c r="D152" s="258"/>
      <c r="G152" s="132"/>
      <c r="H152" s="132"/>
      <c r="I152" s="227"/>
      <c r="J152" s="132">
        <f t="shared" si="7"/>
        <v>25</v>
      </c>
    </row>
    <row r="153" spans="1:10">
      <c r="A153" s="132">
        <f t="shared" si="6"/>
        <v>26</v>
      </c>
      <c r="G153" s="132"/>
      <c r="H153" s="132"/>
      <c r="I153" s="227"/>
      <c r="J153" s="132">
        <f t="shared" si="7"/>
        <v>26</v>
      </c>
    </row>
    <row r="154" spans="1:10">
      <c r="A154" s="132">
        <f t="shared" si="6"/>
        <v>27</v>
      </c>
      <c r="B154" s="221" t="s">
        <v>345</v>
      </c>
      <c r="G154" s="256">
        <f>G151+G139</f>
        <v>0</v>
      </c>
      <c r="H154" s="256"/>
      <c r="I154" s="227" t="s">
        <v>604</v>
      </c>
      <c r="J154" s="132">
        <f t="shared" si="7"/>
        <v>27</v>
      </c>
    </row>
    <row r="155" spans="1:10">
      <c r="A155" s="132">
        <f t="shared" si="6"/>
        <v>28</v>
      </c>
      <c r="G155" s="132"/>
      <c r="H155" s="132"/>
      <c r="I155" s="227"/>
      <c r="J155" s="132">
        <f t="shared" si="7"/>
        <v>28</v>
      </c>
    </row>
    <row r="156" spans="1:10">
      <c r="A156" s="132">
        <f t="shared" si="6"/>
        <v>29</v>
      </c>
      <c r="B156" s="221" t="s">
        <v>355</v>
      </c>
      <c r="G156" s="602">
        <f>G63</f>
        <v>1.8944113384924122E-2</v>
      </c>
      <c r="H156" s="505"/>
      <c r="I156" s="227" t="s">
        <v>611</v>
      </c>
      <c r="J156" s="132">
        <f t="shared" si="7"/>
        <v>29</v>
      </c>
    </row>
    <row r="157" spans="1:10">
      <c r="A157" s="132">
        <f t="shared" si="6"/>
        <v>30</v>
      </c>
      <c r="G157" s="132"/>
      <c r="H157" s="132"/>
      <c r="I157" s="227"/>
      <c r="J157" s="132">
        <f t="shared" si="7"/>
        <v>30</v>
      </c>
    </row>
    <row r="158" spans="1:10" ht="18" thickBot="1">
      <c r="A158" s="132">
        <f t="shared" si="6"/>
        <v>31</v>
      </c>
      <c r="B158" s="221" t="s">
        <v>356</v>
      </c>
      <c r="G158" s="603">
        <f>G154+G156</f>
        <v>1.8944113384924122E-2</v>
      </c>
      <c r="H158" s="274"/>
      <c r="I158" s="227" t="s">
        <v>606</v>
      </c>
      <c r="J158" s="132">
        <f t="shared" si="7"/>
        <v>31</v>
      </c>
    </row>
    <row r="159" spans="1:10" ht="16" thickTop="1"/>
    <row r="161" spans="1:2" ht="18">
      <c r="A161" s="234">
        <v>1</v>
      </c>
      <c r="B161" s="1" t="str">
        <f>"The Incentive Cost of Capital Rate Calculation will be tracked and shown separately for each project. As a result, lines "&amp;A128&amp;" through "&amp;A158&amp;" will be repeated for each project."</f>
        <v>The Incentive Cost of Capital Rate Calculation will be tracked and shown separately for each project. As a result, lines 1 through 31 will be repeated for each project.</v>
      </c>
    </row>
    <row r="162" spans="1:2" ht="18">
      <c r="A162" s="234"/>
      <c r="B162" s="1"/>
    </row>
  </sheetData>
  <mergeCells count="15">
    <mergeCell ref="B121:I121"/>
    <mergeCell ref="B122:I122"/>
    <mergeCell ref="B123:I123"/>
    <mergeCell ref="B74:I74"/>
    <mergeCell ref="B75:I75"/>
    <mergeCell ref="B76:I76"/>
    <mergeCell ref="B77:I77"/>
    <mergeCell ref="B119:I119"/>
    <mergeCell ref="B120:I120"/>
    <mergeCell ref="B73:I73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11.&amp;P&amp;R&amp;A</oddFooter>
  </headerFooter>
  <rowBreaks count="2" manualBreakCount="2">
    <brk id="71" max="16383" man="1"/>
    <brk id="117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83DE-598C-4F7F-9DC4-FE7BD0B0137D}">
  <dimension ref="A1:M163"/>
  <sheetViews>
    <sheetView zoomScale="80" zoomScaleNormal="80" workbookViewId="0"/>
  </sheetViews>
  <sheetFormatPr defaultColWidth="8.81640625" defaultRowHeight="15.5"/>
  <cols>
    <col min="1" max="1" width="5.1796875" style="132" customWidth="1"/>
    <col min="2" max="2" width="55.453125" style="128" customWidth="1"/>
    <col min="3" max="5" width="15.54296875" style="128" customWidth="1"/>
    <col min="6" max="6" width="1.54296875" style="128" customWidth="1"/>
    <col min="7" max="7" width="16.81640625" style="128" customWidth="1"/>
    <col min="8" max="8" width="1.54296875" style="128" customWidth="1"/>
    <col min="9" max="9" width="38.81640625" style="218" customWidth="1"/>
    <col min="10" max="10" width="5.1796875" style="128" customWidth="1"/>
    <col min="11" max="11" width="27" style="128" bestFit="1" customWidth="1"/>
    <col min="12" max="12" width="15" style="128" bestFit="1" customWidth="1"/>
    <col min="13" max="13" width="10.453125" style="128" bestFit="1" customWidth="1"/>
    <col min="14" max="16384" width="8.81640625" style="128"/>
  </cols>
  <sheetData>
    <row r="1" spans="1:10">
      <c r="A1" s="914" t="s">
        <v>780</v>
      </c>
    </row>
    <row r="2" spans="1:10">
      <c r="A2" s="235"/>
      <c r="G2" s="210"/>
      <c r="H2" s="210"/>
      <c r="I2" s="236"/>
      <c r="J2" s="132"/>
    </row>
    <row r="3" spans="1:10">
      <c r="B3" s="1028" t="s">
        <v>259</v>
      </c>
      <c r="C3" s="1028"/>
      <c r="D3" s="1028"/>
      <c r="E3" s="1028"/>
      <c r="F3" s="1028"/>
      <c r="G3" s="1028"/>
      <c r="H3" s="1028"/>
      <c r="I3" s="1028"/>
      <c r="J3" s="132"/>
    </row>
    <row r="4" spans="1:10">
      <c r="B4" s="1028" t="s">
        <v>260</v>
      </c>
      <c r="C4" s="1028"/>
      <c r="D4" s="1028"/>
      <c r="E4" s="1028"/>
      <c r="F4" s="1028"/>
      <c r="G4" s="1028"/>
      <c r="H4" s="1028"/>
      <c r="I4" s="1028"/>
      <c r="J4" s="132"/>
    </row>
    <row r="5" spans="1:10">
      <c r="B5" s="1028" t="s">
        <v>261</v>
      </c>
      <c r="C5" s="1028"/>
      <c r="D5" s="1028"/>
      <c r="E5" s="1028"/>
      <c r="F5" s="1028"/>
      <c r="G5" s="1028"/>
      <c r="H5" s="1028"/>
      <c r="I5" s="1028"/>
      <c r="J5" s="132"/>
    </row>
    <row r="6" spans="1:10">
      <c r="B6" s="1029" t="s">
        <v>480</v>
      </c>
      <c r="C6" s="1029"/>
      <c r="D6" s="1029"/>
      <c r="E6" s="1029"/>
      <c r="F6" s="1029"/>
      <c r="G6" s="1029"/>
      <c r="H6" s="1029"/>
      <c r="I6" s="1029"/>
      <c r="J6" s="132"/>
    </row>
    <row r="7" spans="1:10">
      <c r="B7" s="1030" t="s">
        <v>1</v>
      </c>
      <c r="C7" s="1031"/>
      <c r="D7" s="1031"/>
      <c r="E7" s="1031"/>
      <c r="F7" s="1031"/>
      <c r="G7" s="1031"/>
      <c r="H7" s="1031"/>
      <c r="I7" s="1031"/>
      <c r="J7" s="132"/>
    </row>
    <row r="8" spans="1:10">
      <c r="B8" s="132"/>
      <c r="C8" s="132"/>
      <c r="D8" s="132"/>
      <c r="E8" s="132"/>
      <c r="F8" s="132"/>
      <c r="G8" s="132"/>
      <c r="H8" s="132"/>
      <c r="I8" s="227"/>
      <c r="J8" s="132"/>
    </row>
    <row r="9" spans="1:10">
      <c r="A9" s="132" t="s">
        <v>2</v>
      </c>
      <c r="B9" s="505"/>
      <c r="C9" s="505"/>
      <c r="D9" s="505"/>
      <c r="E9" s="132" t="s">
        <v>147</v>
      </c>
      <c r="F9" s="505"/>
      <c r="G9" s="505"/>
      <c r="H9" s="505"/>
      <c r="I9" s="227"/>
      <c r="J9" s="132" t="s">
        <v>2</v>
      </c>
    </row>
    <row r="10" spans="1:10">
      <c r="A10" s="132" t="s">
        <v>3</v>
      </c>
      <c r="B10" s="132"/>
      <c r="C10" s="132"/>
      <c r="D10" s="132"/>
      <c r="E10" s="561" t="s">
        <v>148</v>
      </c>
      <c r="F10" s="132"/>
      <c r="G10" s="567" t="s">
        <v>33</v>
      </c>
      <c r="H10" s="505"/>
      <c r="I10" s="584" t="s">
        <v>5</v>
      </c>
      <c r="J10" s="132" t="s">
        <v>3</v>
      </c>
    </row>
    <row r="11" spans="1:10">
      <c r="B11" s="132"/>
      <c r="C11" s="132"/>
      <c r="D11" s="132"/>
      <c r="E11" s="132"/>
      <c r="F11" s="132"/>
      <c r="G11" s="132"/>
      <c r="H11" s="132"/>
      <c r="I11" s="227"/>
      <c r="J11" s="132"/>
    </row>
    <row r="12" spans="1:10">
      <c r="A12" s="132">
        <v>1</v>
      </c>
      <c r="B12" s="221" t="s">
        <v>262</v>
      </c>
      <c r="I12" s="227"/>
      <c r="J12" s="132">
        <f>A12</f>
        <v>1</v>
      </c>
    </row>
    <row r="13" spans="1:10">
      <c r="A13" s="132">
        <f>A12+1</f>
        <v>2</v>
      </c>
      <c r="B13" s="128" t="s">
        <v>263</v>
      </c>
      <c r="E13" s="132" t="s">
        <v>264</v>
      </c>
      <c r="F13" s="116"/>
      <c r="G13" s="208">
        <v>4573220</v>
      </c>
      <c r="H13" s="505"/>
      <c r="I13" s="237"/>
      <c r="J13" s="132">
        <f>J12+1</f>
        <v>2</v>
      </c>
    </row>
    <row r="14" spans="1:10">
      <c r="A14" s="132">
        <f t="shared" ref="A14:A53" si="0">A13+1</f>
        <v>3</v>
      </c>
      <c r="B14" s="128" t="s">
        <v>265</v>
      </c>
      <c r="E14" s="132" t="s">
        <v>266</v>
      </c>
      <c r="F14" s="116"/>
      <c r="G14" s="211">
        <v>0</v>
      </c>
      <c r="H14" s="505"/>
      <c r="I14" s="237"/>
      <c r="J14" s="132">
        <f t="shared" ref="J14:J53" si="1">J13+1</f>
        <v>3</v>
      </c>
    </row>
    <row r="15" spans="1:10">
      <c r="A15" s="132">
        <f t="shared" si="0"/>
        <v>4</v>
      </c>
      <c r="B15" s="128" t="s">
        <v>267</v>
      </c>
      <c r="E15" s="132" t="s">
        <v>268</v>
      </c>
      <c r="F15" s="116"/>
      <c r="G15" s="211">
        <v>0</v>
      </c>
      <c r="H15" s="505"/>
      <c r="I15" s="237"/>
      <c r="J15" s="132">
        <f t="shared" si="1"/>
        <v>4</v>
      </c>
    </row>
    <row r="16" spans="1:10">
      <c r="A16" s="132">
        <f t="shared" si="0"/>
        <v>5</v>
      </c>
      <c r="B16" s="128" t="s">
        <v>269</v>
      </c>
      <c r="E16" s="132" t="s">
        <v>270</v>
      </c>
      <c r="F16" s="116"/>
      <c r="G16" s="211">
        <v>0</v>
      </c>
      <c r="H16" s="505"/>
      <c r="I16" s="237"/>
      <c r="J16" s="132">
        <f t="shared" si="1"/>
        <v>5</v>
      </c>
    </row>
    <row r="17" spans="1:10">
      <c r="A17" s="132">
        <f t="shared" si="0"/>
        <v>6</v>
      </c>
      <c r="B17" s="128" t="s">
        <v>271</v>
      </c>
      <c r="E17" s="132" t="s">
        <v>272</v>
      </c>
      <c r="F17" s="116"/>
      <c r="G17" s="211">
        <v>-11674.56719</v>
      </c>
      <c r="H17" s="505"/>
      <c r="I17" s="237"/>
      <c r="J17" s="132">
        <f t="shared" si="1"/>
        <v>6</v>
      </c>
    </row>
    <row r="18" spans="1:10">
      <c r="A18" s="132">
        <f t="shared" si="0"/>
        <v>7</v>
      </c>
      <c r="B18" s="128" t="s">
        <v>273</v>
      </c>
      <c r="G18" s="569">
        <f>SUM(G13:G17)</f>
        <v>4561545.4328100001</v>
      </c>
      <c r="H18" s="203"/>
      <c r="I18" s="227" t="s">
        <v>584</v>
      </c>
      <c r="J18" s="132">
        <f t="shared" si="1"/>
        <v>7</v>
      </c>
    </row>
    <row r="19" spans="1:10">
      <c r="A19" s="132">
        <f t="shared" si="0"/>
        <v>8</v>
      </c>
      <c r="I19" s="227"/>
      <c r="J19" s="132">
        <f t="shared" si="1"/>
        <v>8</v>
      </c>
    </row>
    <row r="20" spans="1:10">
      <c r="A20" s="132">
        <f t="shared" si="0"/>
        <v>9</v>
      </c>
      <c r="B20" s="221" t="s">
        <v>274</v>
      </c>
      <c r="G20" s="123"/>
      <c r="H20" s="123"/>
      <c r="I20" s="227"/>
      <c r="J20" s="132">
        <f t="shared" si="1"/>
        <v>9</v>
      </c>
    </row>
    <row r="21" spans="1:10">
      <c r="A21" s="132">
        <f t="shared" si="0"/>
        <v>10</v>
      </c>
      <c r="B21" s="128" t="s">
        <v>275</v>
      </c>
      <c r="E21" s="132" t="s">
        <v>276</v>
      </c>
      <c r="F21" s="116"/>
      <c r="G21" s="208">
        <v>185808.92551000003</v>
      </c>
      <c r="H21" s="505"/>
      <c r="I21" s="238"/>
      <c r="J21" s="132">
        <f t="shared" si="1"/>
        <v>10</v>
      </c>
    </row>
    <row r="22" spans="1:10">
      <c r="A22" s="132">
        <f t="shared" si="0"/>
        <v>11</v>
      </c>
      <c r="B22" s="128" t="s">
        <v>277</v>
      </c>
      <c r="E22" s="132" t="s">
        <v>278</v>
      </c>
      <c r="F22" s="116"/>
      <c r="G22" s="211">
        <v>3445.5419300000008</v>
      </c>
      <c r="H22" s="505"/>
      <c r="I22" s="238"/>
      <c r="J22" s="132">
        <f t="shared" si="1"/>
        <v>11</v>
      </c>
    </row>
    <row r="23" spans="1:10">
      <c r="A23" s="132">
        <f t="shared" si="0"/>
        <v>12</v>
      </c>
      <c r="B23" s="128" t="s">
        <v>279</v>
      </c>
      <c r="E23" s="132" t="s">
        <v>280</v>
      </c>
      <c r="F23" s="116"/>
      <c r="G23" s="211">
        <v>3334.7596600000006</v>
      </c>
      <c r="H23" s="505"/>
      <c r="I23" s="238"/>
      <c r="J23" s="132">
        <f t="shared" si="1"/>
        <v>12</v>
      </c>
    </row>
    <row r="24" spans="1:10">
      <c r="A24" s="132">
        <f t="shared" si="0"/>
        <v>13</v>
      </c>
      <c r="B24" s="128" t="s">
        <v>281</v>
      </c>
      <c r="E24" s="132" t="s">
        <v>282</v>
      </c>
      <c r="F24" s="116"/>
      <c r="G24" s="211">
        <v>0</v>
      </c>
      <c r="H24" s="505"/>
      <c r="I24" s="238"/>
      <c r="J24" s="132">
        <f t="shared" si="1"/>
        <v>13</v>
      </c>
    </row>
    <row r="25" spans="1:10">
      <c r="A25" s="132">
        <f t="shared" si="0"/>
        <v>14</v>
      </c>
      <c r="B25" s="128" t="s">
        <v>283</v>
      </c>
      <c r="E25" s="132" t="s">
        <v>284</v>
      </c>
      <c r="F25" s="116"/>
      <c r="G25" s="211">
        <v>0</v>
      </c>
      <c r="H25" s="505"/>
      <c r="I25" s="238"/>
      <c r="J25" s="132">
        <f t="shared" si="1"/>
        <v>14</v>
      </c>
    </row>
    <row r="26" spans="1:10">
      <c r="A26" s="132">
        <f t="shared" si="0"/>
        <v>15</v>
      </c>
      <c r="B26" s="128" t="s">
        <v>285</v>
      </c>
      <c r="G26" s="585">
        <f>SUM(G21:G25)</f>
        <v>192589.22710000005</v>
      </c>
      <c r="H26" s="212"/>
      <c r="I26" s="227" t="s">
        <v>585</v>
      </c>
      <c r="J26" s="132">
        <f t="shared" si="1"/>
        <v>15</v>
      </c>
    </row>
    <row r="27" spans="1:10">
      <c r="A27" s="132">
        <f t="shared" si="0"/>
        <v>16</v>
      </c>
      <c r="I27" s="227"/>
      <c r="J27" s="132">
        <f t="shared" si="1"/>
        <v>16</v>
      </c>
    </row>
    <row r="28" spans="1:10" ht="16" thickBot="1">
      <c r="A28" s="132">
        <f t="shared" si="0"/>
        <v>17</v>
      </c>
      <c r="B28" s="221" t="s">
        <v>286</v>
      </c>
      <c r="G28" s="586">
        <f>G26/G18</f>
        <v>4.2220170759400148E-2</v>
      </c>
      <c r="H28" s="239"/>
      <c r="I28" s="227" t="s">
        <v>586</v>
      </c>
      <c r="J28" s="132">
        <f t="shared" si="1"/>
        <v>17</v>
      </c>
    </row>
    <row r="29" spans="1:10" ht="16" thickTop="1">
      <c r="A29" s="132">
        <f t="shared" si="0"/>
        <v>18</v>
      </c>
      <c r="I29" s="227"/>
      <c r="J29" s="132">
        <f t="shared" si="1"/>
        <v>18</v>
      </c>
    </row>
    <row r="30" spans="1:10">
      <c r="A30" s="132">
        <f t="shared" si="0"/>
        <v>19</v>
      </c>
      <c r="B30" s="221" t="s">
        <v>287</v>
      </c>
      <c r="I30" s="227"/>
      <c r="J30" s="132">
        <f t="shared" si="1"/>
        <v>19</v>
      </c>
    </row>
    <row r="31" spans="1:10">
      <c r="A31" s="132">
        <f t="shared" si="0"/>
        <v>20</v>
      </c>
      <c r="B31" s="128" t="s">
        <v>288</v>
      </c>
      <c r="E31" s="132" t="s">
        <v>289</v>
      </c>
      <c r="F31" s="116"/>
      <c r="G31" s="208">
        <v>0</v>
      </c>
      <c r="H31" s="505"/>
      <c r="I31" s="238"/>
      <c r="J31" s="132">
        <f t="shared" si="1"/>
        <v>20</v>
      </c>
    </row>
    <row r="32" spans="1:10">
      <c r="A32" s="132">
        <f t="shared" si="0"/>
        <v>21</v>
      </c>
      <c r="B32" s="128" t="s">
        <v>290</v>
      </c>
      <c r="E32" s="132" t="s">
        <v>291</v>
      </c>
      <c r="F32" s="116"/>
      <c r="G32" s="587">
        <v>0</v>
      </c>
      <c r="H32" s="505"/>
      <c r="I32" s="238"/>
      <c r="J32" s="132">
        <f t="shared" si="1"/>
        <v>21</v>
      </c>
    </row>
    <row r="33" spans="1:12" ht="16" thickBot="1">
      <c r="A33" s="132">
        <f t="shared" si="0"/>
        <v>22</v>
      </c>
      <c r="B33" s="128" t="s">
        <v>292</v>
      </c>
      <c r="G33" s="586">
        <f>IFERROR((G32/G31),0)</f>
        <v>0</v>
      </c>
      <c r="H33" s="239"/>
      <c r="I33" s="227" t="s">
        <v>587</v>
      </c>
      <c r="J33" s="132">
        <f t="shared" si="1"/>
        <v>22</v>
      </c>
    </row>
    <row r="34" spans="1:12" ht="16" thickTop="1">
      <c r="A34" s="132">
        <f t="shared" si="0"/>
        <v>23</v>
      </c>
      <c r="I34" s="227"/>
      <c r="J34" s="132">
        <f t="shared" si="1"/>
        <v>23</v>
      </c>
    </row>
    <row r="35" spans="1:12">
      <c r="A35" s="132">
        <f t="shared" si="0"/>
        <v>24</v>
      </c>
      <c r="B35" s="221" t="s">
        <v>293</v>
      </c>
      <c r="I35" s="227"/>
      <c r="J35" s="132">
        <f t="shared" si="1"/>
        <v>24</v>
      </c>
    </row>
    <row r="36" spans="1:12">
      <c r="A36" s="132">
        <f t="shared" si="0"/>
        <v>25</v>
      </c>
      <c r="B36" s="128" t="s">
        <v>294</v>
      </c>
      <c r="E36" s="132" t="s">
        <v>295</v>
      </c>
      <c r="F36" s="116"/>
      <c r="G36" s="208">
        <v>5596415.2139900001</v>
      </c>
      <c r="H36" s="505"/>
      <c r="I36" s="238"/>
      <c r="J36" s="132">
        <f t="shared" si="1"/>
        <v>25</v>
      </c>
      <c r="K36" s="202"/>
      <c r="L36" s="481"/>
    </row>
    <row r="37" spans="1:12">
      <c r="A37" s="132">
        <f t="shared" si="0"/>
        <v>26</v>
      </c>
      <c r="B37" s="128" t="s">
        <v>296</v>
      </c>
      <c r="E37" s="132" t="s">
        <v>289</v>
      </c>
      <c r="G37" s="240">
        <f>-G31</f>
        <v>0</v>
      </c>
      <c r="H37" s="240"/>
      <c r="I37" s="227" t="s">
        <v>588</v>
      </c>
      <c r="J37" s="132">
        <f t="shared" si="1"/>
        <v>26</v>
      </c>
    </row>
    <row r="38" spans="1:12">
      <c r="A38" s="132">
        <f t="shared" si="0"/>
        <v>27</v>
      </c>
      <c r="B38" s="128" t="s">
        <v>297</v>
      </c>
      <c r="E38" s="132" t="s">
        <v>298</v>
      </c>
      <c r="G38" s="211">
        <v>0</v>
      </c>
      <c r="H38" s="505"/>
      <c r="I38" s="238"/>
      <c r="J38" s="132">
        <f t="shared" si="1"/>
        <v>27</v>
      </c>
    </row>
    <row r="39" spans="1:12">
      <c r="A39" s="132">
        <f t="shared" si="0"/>
        <v>28</v>
      </c>
      <c r="B39" s="128" t="s">
        <v>299</v>
      </c>
      <c r="E39" s="132" t="s">
        <v>300</v>
      </c>
      <c r="G39" s="211">
        <v>8217.2675099999997</v>
      </c>
      <c r="H39" s="505"/>
      <c r="I39" s="238"/>
      <c r="J39" s="132">
        <f t="shared" si="1"/>
        <v>28</v>
      </c>
    </row>
    <row r="40" spans="1:12" ht="16" thickBot="1">
      <c r="A40" s="132">
        <f t="shared" si="0"/>
        <v>29</v>
      </c>
      <c r="B40" s="128" t="s">
        <v>301</v>
      </c>
      <c r="G40" s="588">
        <f>SUM(G36:G39)</f>
        <v>5604632.4814999998</v>
      </c>
      <c r="H40" s="241"/>
      <c r="I40" s="227" t="s">
        <v>589</v>
      </c>
      <c r="J40" s="132">
        <f t="shared" si="1"/>
        <v>29</v>
      </c>
    </row>
    <row r="41" spans="1:12" ht="16.5" thickTop="1" thickBot="1">
      <c r="A41" s="497">
        <f t="shared" si="0"/>
        <v>30</v>
      </c>
      <c r="B41" s="498"/>
      <c r="C41" s="498"/>
      <c r="D41" s="498"/>
      <c r="E41" s="498"/>
      <c r="F41" s="498"/>
      <c r="G41" s="498"/>
      <c r="H41" s="498"/>
      <c r="I41" s="589"/>
      <c r="J41" s="497">
        <f t="shared" si="1"/>
        <v>30</v>
      </c>
    </row>
    <row r="42" spans="1:12">
      <c r="A42" s="132">
        <f>A41+1</f>
        <v>31</v>
      </c>
      <c r="I42" s="227"/>
      <c r="J42" s="132">
        <f>J41+1</f>
        <v>31</v>
      </c>
    </row>
    <row r="43" spans="1:12" ht="18.5" thickBot="1">
      <c r="A43" s="132">
        <f>A42+1</f>
        <v>32</v>
      </c>
      <c r="B43" s="221" t="s">
        <v>302</v>
      </c>
      <c r="G43" s="590">
        <v>0.10050000000000001</v>
      </c>
      <c r="H43" s="505"/>
      <c r="I43" s="227" t="s">
        <v>303</v>
      </c>
      <c r="J43" s="132">
        <f>J42+1</f>
        <v>32</v>
      </c>
    </row>
    <row r="44" spans="1:12" ht="16" thickTop="1">
      <c r="A44" s="132">
        <f t="shared" si="0"/>
        <v>33</v>
      </c>
      <c r="C44" s="214" t="s">
        <v>7</v>
      </c>
      <c r="D44" s="214" t="s">
        <v>8</v>
      </c>
      <c r="E44" s="214" t="s">
        <v>9</v>
      </c>
      <c r="F44" s="214"/>
      <c r="G44" s="214" t="s">
        <v>304</v>
      </c>
      <c r="H44" s="214"/>
      <c r="I44" s="227"/>
      <c r="J44" s="132">
        <f t="shared" si="1"/>
        <v>33</v>
      </c>
    </row>
    <row r="45" spans="1:12">
      <c r="A45" s="132">
        <f t="shared" si="0"/>
        <v>34</v>
      </c>
      <c r="D45" s="132" t="s">
        <v>305</v>
      </c>
      <c r="E45" s="132" t="s">
        <v>306</v>
      </c>
      <c r="F45" s="132"/>
      <c r="G45" s="132" t="s">
        <v>307</v>
      </c>
      <c r="H45" s="132"/>
      <c r="I45" s="227"/>
      <c r="J45" s="132">
        <f t="shared" si="1"/>
        <v>34</v>
      </c>
    </row>
    <row r="46" spans="1:12" ht="18">
      <c r="A46" s="132">
        <f t="shared" si="0"/>
        <v>35</v>
      </c>
      <c r="B46" s="221" t="s">
        <v>308</v>
      </c>
      <c r="C46" s="561" t="s">
        <v>241</v>
      </c>
      <c r="D46" s="561" t="s">
        <v>309</v>
      </c>
      <c r="E46" s="561" t="s">
        <v>310</v>
      </c>
      <c r="F46" s="561"/>
      <c r="G46" s="561" t="s">
        <v>311</v>
      </c>
      <c r="H46" s="132"/>
      <c r="I46" s="227"/>
      <c r="J46" s="132">
        <f t="shared" si="1"/>
        <v>35</v>
      </c>
    </row>
    <row r="47" spans="1:12">
      <c r="A47" s="132">
        <f t="shared" si="0"/>
        <v>36</v>
      </c>
      <c r="I47" s="227"/>
      <c r="J47" s="132">
        <f t="shared" si="1"/>
        <v>36</v>
      </c>
    </row>
    <row r="48" spans="1:12">
      <c r="A48" s="132">
        <f t="shared" si="0"/>
        <v>37</v>
      </c>
      <c r="B48" s="128" t="s">
        <v>312</v>
      </c>
      <c r="C48" s="232">
        <f>G18</f>
        <v>4561545.4328100001</v>
      </c>
      <c r="D48" s="242">
        <f>C48/C$51</f>
        <v>0.44869817066541096</v>
      </c>
      <c r="E48" s="243">
        <f>G28</f>
        <v>4.2220170759400148E-2</v>
      </c>
      <c r="G48" s="244">
        <f>D48*E48</f>
        <v>1.8944113384924122E-2</v>
      </c>
      <c r="H48" s="244"/>
      <c r="I48" s="227" t="s">
        <v>590</v>
      </c>
      <c r="J48" s="132">
        <f t="shared" si="1"/>
        <v>37</v>
      </c>
    </row>
    <row r="49" spans="1:10">
      <c r="A49" s="132">
        <f t="shared" si="0"/>
        <v>38</v>
      </c>
      <c r="B49" s="128" t="s">
        <v>313</v>
      </c>
      <c r="C49" s="245">
        <f>G31</f>
        <v>0</v>
      </c>
      <c r="D49" s="242">
        <f>C49/C$51</f>
        <v>0</v>
      </c>
      <c r="E49" s="243">
        <f>G33</f>
        <v>0</v>
      </c>
      <c r="G49" s="244">
        <f>D49*E49</f>
        <v>0</v>
      </c>
      <c r="H49" s="244"/>
      <c r="I49" s="227" t="s">
        <v>591</v>
      </c>
      <c r="J49" s="132">
        <f t="shared" si="1"/>
        <v>38</v>
      </c>
    </row>
    <row r="50" spans="1:10">
      <c r="A50" s="132">
        <f t="shared" si="0"/>
        <v>39</v>
      </c>
      <c r="B50" s="128" t="s">
        <v>314</v>
      </c>
      <c r="C50" s="245">
        <f>G40</f>
        <v>5604632.4814999998</v>
      </c>
      <c r="D50" s="591">
        <f>C50/C$51</f>
        <v>0.55130182933458893</v>
      </c>
      <c r="E50" s="246">
        <f>G43</f>
        <v>0.10050000000000001</v>
      </c>
      <c r="G50" s="592">
        <f>D50*E50</f>
        <v>5.5405833848126189E-2</v>
      </c>
      <c r="H50" s="239"/>
      <c r="I50" s="227" t="s">
        <v>592</v>
      </c>
      <c r="J50" s="132">
        <f t="shared" si="1"/>
        <v>39</v>
      </c>
    </row>
    <row r="51" spans="1:10" ht="16" thickBot="1">
      <c r="A51" s="132">
        <f t="shared" si="0"/>
        <v>40</v>
      </c>
      <c r="B51" s="128" t="s">
        <v>315</v>
      </c>
      <c r="C51" s="593">
        <f>SUM(C48:C50)</f>
        <v>10166177.914310001</v>
      </c>
      <c r="D51" s="594">
        <f>SUM(D48:D50)</f>
        <v>0.99999999999999989</v>
      </c>
      <c r="G51" s="586">
        <f>SUM(G48:G50)</f>
        <v>7.4349947233050315E-2</v>
      </c>
      <c r="H51" s="239"/>
      <c r="I51" s="227" t="s">
        <v>593</v>
      </c>
      <c r="J51" s="132">
        <f t="shared" si="1"/>
        <v>40</v>
      </c>
    </row>
    <row r="52" spans="1:10" ht="16" thickTop="1">
      <c r="A52" s="132">
        <f t="shared" si="0"/>
        <v>41</v>
      </c>
      <c r="I52" s="227"/>
      <c r="J52" s="132">
        <f t="shared" si="1"/>
        <v>41</v>
      </c>
    </row>
    <row r="53" spans="1:10" ht="16" thickBot="1">
      <c r="A53" s="132">
        <f t="shared" si="0"/>
        <v>42</v>
      </c>
      <c r="B53" s="221" t="s">
        <v>316</v>
      </c>
      <c r="G53" s="586">
        <f>G49+G50</f>
        <v>5.5405833848126189E-2</v>
      </c>
      <c r="H53" s="239"/>
      <c r="I53" s="227" t="s">
        <v>594</v>
      </c>
      <c r="J53" s="132">
        <f t="shared" si="1"/>
        <v>42</v>
      </c>
    </row>
    <row r="54" spans="1:10" ht="16.5" thickTop="1" thickBot="1">
      <c r="A54" s="497">
        <f>A53+1</f>
        <v>43</v>
      </c>
      <c r="B54" s="498"/>
      <c r="C54" s="498"/>
      <c r="D54" s="498"/>
      <c r="E54" s="498"/>
      <c r="F54" s="498"/>
      <c r="G54" s="498"/>
      <c r="H54" s="498"/>
      <c r="I54" s="589"/>
      <c r="J54" s="497">
        <f>J53+1</f>
        <v>43</v>
      </c>
    </row>
    <row r="55" spans="1:10">
      <c r="A55" s="132">
        <f>A54+1</f>
        <v>44</v>
      </c>
      <c r="I55" s="227"/>
      <c r="J55" s="132">
        <f>J54+1</f>
        <v>44</v>
      </c>
    </row>
    <row r="56" spans="1:10" ht="18.5" thickBot="1">
      <c r="A56" s="132">
        <f t="shared" ref="A56:A66" si="2">A55+1</f>
        <v>45</v>
      </c>
      <c r="B56" s="221" t="s">
        <v>317</v>
      </c>
      <c r="G56" s="590">
        <v>0</v>
      </c>
      <c r="H56" s="505"/>
      <c r="I56" s="236"/>
      <c r="J56" s="132">
        <f t="shared" ref="J56:J66" si="3">J55+1</f>
        <v>45</v>
      </c>
    </row>
    <row r="57" spans="1:10" ht="16" thickTop="1">
      <c r="A57" s="132">
        <f t="shared" si="2"/>
        <v>46</v>
      </c>
      <c r="C57" s="214" t="s">
        <v>7</v>
      </c>
      <c r="D57" s="214" t="s">
        <v>8</v>
      </c>
      <c r="E57" s="214" t="s">
        <v>9</v>
      </c>
      <c r="F57" s="214"/>
      <c r="G57" s="214" t="s">
        <v>304</v>
      </c>
      <c r="H57" s="214"/>
      <c r="I57" s="227"/>
      <c r="J57" s="132">
        <f t="shared" si="3"/>
        <v>46</v>
      </c>
    </row>
    <row r="58" spans="1:10">
      <c r="A58" s="132">
        <f t="shared" si="2"/>
        <v>47</v>
      </c>
      <c r="D58" s="132" t="s">
        <v>305</v>
      </c>
      <c r="E58" s="132" t="s">
        <v>306</v>
      </c>
      <c r="F58" s="132"/>
      <c r="G58" s="132" t="s">
        <v>307</v>
      </c>
      <c r="H58" s="132"/>
      <c r="I58" s="227"/>
      <c r="J58" s="132">
        <f t="shared" si="3"/>
        <v>47</v>
      </c>
    </row>
    <row r="59" spans="1:10" ht="18">
      <c r="A59" s="132">
        <f t="shared" si="2"/>
        <v>48</v>
      </c>
      <c r="B59" s="221" t="s">
        <v>318</v>
      </c>
      <c r="C59" s="561" t="s">
        <v>241</v>
      </c>
      <c r="D59" s="561" t="s">
        <v>309</v>
      </c>
      <c r="E59" s="561" t="s">
        <v>310</v>
      </c>
      <c r="F59" s="561"/>
      <c r="G59" s="561" t="s">
        <v>311</v>
      </c>
      <c r="H59" s="132"/>
      <c r="I59" s="227"/>
      <c r="J59" s="132">
        <f t="shared" si="3"/>
        <v>48</v>
      </c>
    </row>
    <row r="60" spans="1:10">
      <c r="A60" s="132">
        <f t="shared" si="2"/>
        <v>49</v>
      </c>
      <c r="I60" s="227"/>
      <c r="J60" s="132">
        <f t="shared" si="3"/>
        <v>49</v>
      </c>
    </row>
    <row r="61" spans="1:10">
      <c r="A61" s="132">
        <f t="shared" si="2"/>
        <v>50</v>
      </c>
      <c r="B61" s="128" t="s">
        <v>312</v>
      </c>
      <c r="C61" s="232">
        <f>G18</f>
        <v>4561545.4328100001</v>
      </c>
      <c r="D61" s="242">
        <f>C61/C$51</f>
        <v>0.44869817066541096</v>
      </c>
      <c r="E61" s="243">
        <f>G28</f>
        <v>4.2220170759400148E-2</v>
      </c>
      <c r="G61" s="244">
        <f>D61*E61</f>
        <v>1.8944113384924122E-2</v>
      </c>
      <c r="H61" s="244"/>
      <c r="I61" s="227" t="s">
        <v>590</v>
      </c>
      <c r="J61" s="132">
        <f t="shared" si="3"/>
        <v>50</v>
      </c>
    </row>
    <row r="62" spans="1:10">
      <c r="A62" s="132">
        <f t="shared" si="2"/>
        <v>51</v>
      </c>
      <c r="B62" s="128" t="s">
        <v>313</v>
      </c>
      <c r="C62" s="245">
        <f>G31</f>
        <v>0</v>
      </c>
      <c r="D62" s="242">
        <f>C62/C$51</f>
        <v>0</v>
      </c>
      <c r="E62" s="243">
        <f>G33</f>
        <v>0</v>
      </c>
      <c r="G62" s="244">
        <f>D62*E62</f>
        <v>0</v>
      </c>
      <c r="H62" s="244"/>
      <c r="I62" s="227" t="s">
        <v>591</v>
      </c>
      <c r="J62" s="132">
        <f t="shared" si="3"/>
        <v>51</v>
      </c>
    </row>
    <row r="63" spans="1:10">
      <c r="A63" s="132">
        <f t="shared" si="2"/>
        <v>52</v>
      </c>
      <c r="B63" s="128" t="s">
        <v>314</v>
      </c>
      <c r="C63" s="245">
        <f>G40</f>
        <v>5604632.4814999998</v>
      </c>
      <c r="D63" s="591">
        <f>C63/C$51</f>
        <v>0.55130182933458893</v>
      </c>
      <c r="E63" s="246">
        <f>G56</f>
        <v>0</v>
      </c>
      <c r="G63" s="592">
        <f>D63*E63</f>
        <v>0</v>
      </c>
      <c r="H63" s="239"/>
      <c r="I63" s="227" t="s">
        <v>595</v>
      </c>
      <c r="J63" s="132">
        <f t="shared" si="3"/>
        <v>52</v>
      </c>
    </row>
    <row r="64" spans="1:10" ht="16" thickBot="1">
      <c r="A64" s="132">
        <f t="shared" si="2"/>
        <v>53</v>
      </c>
      <c r="B64" s="128" t="s">
        <v>315</v>
      </c>
      <c r="C64" s="593">
        <f>SUM(C61:C63)</f>
        <v>10166177.914310001</v>
      </c>
      <c r="D64" s="586">
        <f>SUM(D61:D63)</f>
        <v>0.99999999999999989</v>
      </c>
      <c r="G64" s="586">
        <f>SUM(G61:G63)</f>
        <v>1.8944113384924122E-2</v>
      </c>
      <c r="H64" s="239"/>
      <c r="I64" s="227" t="s">
        <v>596</v>
      </c>
      <c r="J64" s="132">
        <f t="shared" si="3"/>
        <v>53</v>
      </c>
    </row>
    <row r="65" spans="1:10" ht="16" thickTop="1">
      <c r="A65" s="132">
        <f t="shared" si="2"/>
        <v>54</v>
      </c>
      <c r="I65" s="227"/>
      <c r="J65" s="132">
        <f t="shared" si="3"/>
        <v>54</v>
      </c>
    </row>
    <row r="66" spans="1:10" ht="16" thickBot="1">
      <c r="A66" s="132">
        <f t="shared" si="2"/>
        <v>55</v>
      </c>
      <c r="B66" s="221" t="s">
        <v>319</v>
      </c>
      <c r="G66" s="586">
        <f>G62+G63</f>
        <v>0</v>
      </c>
      <c r="H66" s="239"/>
      <c r="I66" s="227" t="s">
        <v>597</v>
      </c>
      <c r="J66" s="132">
        <f t="shared" si="3"/>
        <v>55</v>
      </c>
    </row>
    <row r="67" spans="1:10" ht="16" thickTop="1">
      <c r="B67" s="221"/>
      <c r="G67" s="247"/>
      <c r="H67" s="247"/>
      <c r="I67" s="227"/>
      <c r="J67" s="132"/>
    </row>
    <row r="68" spans="1:10">
      <c r="B68" s="221"/>
      <c r="G68" s="246"/>
      <c r="H68" s="246"/>
      <c r="I68" s="227"/>
      <c r="J68" s="132"/>
    </row>
    <row r="69" spans="1:10" ht="18">
      <c r="A69" s="234">
        <v>1</v>
      </c>
      <c r="B69" s="1" t="s">
        <v>320</v>
      </c>
      <c r="G69" s="210"/>
      <c r="H69" s="210"/>
      <c r="J69" s="132" t="s">
        <v>6</v>
      </c>
    </row>
    <row r="70" spans="1:10" ht="18">
      <c r="A70" s="234">
        <v>2</v>
      </c>
      <c r="B70" s="1" t="str">
        <f>"The Incentive Return on Common Equity will be tracked and shown separately for each project. As a result, lines "&amp;A56&amp;" through "&amp;A66&amp;" will be repeated for each project."</f>
        <v>The Incentive Return on Common Equity will be tracked and shown separately for each project. As a result, lines 45 through 55 will be repeated for each project.</v>
      </c>
      <c r="G70" s="210"/>
      <c r="H70" s="210"/>
      <c r="J70" s="132"/>
    </row>
    <row r="71" spans="1:10" ht="18">
      <c r="A71" s="234">
        <v>3</v>
      </c>
      <c r="B71" s="1" t="s">
        <v>321</v>
      </c>
      <c r="G71" s="210"/>
      <c r="H71" s="210"/>
      <c r="J71" s="132"/>
    </row>
    <row r="72" spans="1:10" ht="18">
      <c r="A72" s="234"/>
      <c r="B72" s="1"/>
      <c r="G72" s="210"/>
      <c r="H72" s="210"/>
      <c r="J72" s="132"/>
    </row>
    <row r="73" spans="1:10" ht="18">
      <c r="A73" s="234"/>
      <c r="D73" s="132"/>
      <c r="G73" s="210"/>
      <c r="H73" s="210"/>
      <c r="J73" s="132"/>
    </row>
    <row r="74" spans="1:10">
      <c r="B74" s="1028" t="s">
        <v>259</v>
      </c>
      <c r="C74" s="1028"/>
      <c r="D74" s="1028"/>
      <c r="E74" s="1028"/>
      <c r="F74" s="1028"/>
      <c r="G74" s="1028"/>
      <c r="H74" s="1028"/>
      <c r="I74" s="1028"/>
      <c r="J74" s="132"/>
    </row>
    <row r="75" spans="1:10">
      <c r="B75" s="1028" t="s">
        <v>322</v>
      </c>
      <c r="C75" s="1028"/>
      <c r="D75" s="1028"/>
      <c r="E75" s="1028"/>
      <c r="F75" s="1028"/>
      <c r="G75" s="1028"/>
      <c r="H75" s="1028"/>
      <c r="I75" s="1028"/>
      <c r="J75" s="132"/>
    </row>
    <row r="76" spans="1:10">
      <c r="B76" s="1028" t="s">
        <v>261</v>
      </c>
      <c r="C76" s="1028"/>
      <c r="D76" s="1028"/>
      <c r="E76" s="1028"/>
      <c r="F76" s="1028"/>
      <c r="G76" s="1028"/>
      <c r="H76" s="1028"/>
      <c r="I76" s="1028"/>
      <c r="J76" s="132"/>
    </row>
    <row r="77" spans="1:10">
      <c r="B77" s="1029" t="str">
        <f>B6</f>
        <v>Base Period &amp; True-Up Period 12 - Months Ending December 31, 2017</v>
      </c>
      <c r="C77" s="1029"/>
      <c r="D77" s="1029"/>
      <c r="E77" s="1029"/>
      <c r="F77" s="1029"/>
      <c r="G77" s="1029"/>
      <c r="H77" s="1029"/>
      <c r="I77" s="1029"/>
      <c r="J77" s="132"/>
    </row>
    <row r="78" spans="1:10">
      <c r="B78" s="1030" t="s">
        <v>1</v>
      </c>
      <c r="C78" s="1031"/>
      <c r="D78" s="1031"/>
      <c r="E78" s="1031"/>
      <c r="F78" s="1031"/>
      <c r="G78" s="1031"/>
      <c r="H78" s="1031"/>
      <c r="I78" s="1031"/>
      <c r="J78" s="132"/>
    </row>
    <row r="79" spans="1:10">
      <c r="B79" s="132"/>
      <c r="C79" s="132"/>
      <c r="D79" s="132"/>
      <c r="E79" s="132"/>
      <c r="F79" s="132"/>
      <c r="G79" s="132"/>
      <c r="H79" s="132"/>
      <c r="I79" s="227"/>
      <c r="J79" s="132"/>
    </row>
    <row r="80" spans="1:10">
      <c r="A80" s="132" t="s">
        <v>2</v>
      </c>
      <c r="B80" s="505"/>
      <c r="C80" s="505"/>
      <c r="D80" s="505"/>
      <c r="E80" s="505"/>
      <c r="F80" s="505"/>
      <c r="G80" s="505"/>
      <c r="H80" s="505"/>
      <c r="I80" s="227"/>
      <c r="J80" s="132" t="s">
        <v>2</v>
      </c>
    </row>
    <row r="81" spans="1:13">
      <c r="A81" s="132" t="s">
        <v>3</v>
      </c>
      <c r="B81" s="132"/>
      <c r="C81" s="132"/>
      <c r="D81" s="132"/>
      <c r="E81" s="132"/>
      <c r="F81" s="132"/>
      <c r="G81" s="561" t="s">
        <v>33</v>
      </c>
      <c r="H81" s="505"/>
      <c r="I81" s="584" t="s">
        <v>5</v>
      </c>
      <c r="J81" s="132" t="s">
        <v>3</v>
      </c>
    </row>
    <row r="82" spans="1:13">
      <c r="G82" s="132"/>
      <c r="H82" s="132"/>
      <c r="I82" s="227"/>
      <c r="J82" s="132"/>
    </row>
    <row r="83" spans="1:13" ht="17.5">
      <c r="A83" s="132">
        <v>1</v>
      </c>
      <c r="B83" s="221" t="s">
        <v>323</v>
      </c>
      <c r="E83" s="505"/>
      <c r="F83" s="505"/>
      <c r="G83" s="209"/>
      <c r="H83" s="209"/>
      <c r="I83" s="227"/>
      <c r="J83" s="132">
        <v>1</v>
      </c>
    </row>
    <row r="84" spans="1:13">
      <c r="A84" s="132">
        <f>A83+1</f>
        <v>2</v>
      </c>
      <c r="B84" s="248"/>
      <c r="E84" s="505"/>
      <c r="F84" s="505"/>
      <c r="G84" s="209"/>
      <c r="H84" s="209"/>
      <c r="I84" s="227"/>
      <c r="J84" s="132">
        <f>J83+1</f>
        <v>2</v>
      </c>
    </row>
    <row r="85" spans="1:13">
      <c r="A85" s="132">
        <f>A84+1</f>
        <v>3</v>
      </c>
      <c r="B85" s="221" t="s">
        <v>324</v>
      </c>
      <c r="E85" s="505"/>
      <c r="F85" s="505"/>
      <c r="G85" s="209"/>
      <c r="H85" s="209"/>
      <c r="I85" s="227"/>
      <c r="J85" s="132">
        <f>J84+1</f>
        <v>3</v>
      </c>
    </row>
    <row r="86" spans="1:13">
      <c r="A86" s="132">
        <f>A85+1</f>
        <v>4</v>
      </c>
      <c r="B86" s="505"/>
      <c r="C86" s="505"/>
      <c r="D86" s="505"/>
      <c r="E86" s="505"/>
      <c r="F86" s="505"/>
      <c r="G86" s="209"/>
      <c r="H86" s="209"/>
      <c r="I86" s="227"/>
      <c r="J86" s="132">
        <f>J85+1</f>
        <v>4</v>
      </c>
    </row>
    <row r="87" spans="1:13">
      <c r="A87" s="132">
        <f t="shared" ref="A87:A113" si="4">A86+1</f>
        <v>5</v>
      </c>
      <c r="B87" s="216" t="s">
        <v>325</v>
      </c>
      <c r="C87" s="505"/>
      <c r="D87" s="505"/>
      <c r="E87" s="505"/>
      <c r="F87" s="505"/>
      <c r="G87" s="209"/>
      <c r="H87" s="209"/>
      <c r="I87" s="249"/>
      <c r="J87" s="132">
        <f t="shared" ref="J87:J113" si="5">J86+1</f>
        <v>5</v>
      </c>
    </row>
    <row r="88" spans="1:13">
      <c r="A88" s="132">
        <f t="shared" si="4"/>
        <v>6</v>
      </c>
      <c r="B88" s="128" t="s">
        <v>326</v>
      </c>
      <c r="D88" s="505"/>
      <c r="E88" s="505"/>
      <c r="F88" s="505"/>
      <c r="G88" s="250">
        <f>G53</f>
        <v>5.5405833848126189E-2</v>
      </c>
      <c r="H88" s="505"/>
      <c r="I88" s="227" t="s">
        <v>598</v>
      </c>
      <c r="J88" s="132">
        <f t="shared" si="5"/>
        <v>6</v>
      </c>
      <c r="L88" s="132"/>
    </row>
    <row r="89" spans="1:13">
      <c r="A89" s="132">
        <f t="shared" si="4"/>
        <v>7</v>
      </c>
      <c r="B89" s="128" t="s">
        <v>327</v>
      </c>
      <c r="D89" s="505"/>
      <c r="E89" s="505"/>
      <c r="F89" s="505"/>
      <c r="G89" s="251">
        <v>264.76299999999998</v>
      </c>
      <c r="H89" s="505"/>
      <c r="I89" s="227" t="s">
        <v>599</v>
      </c>
      <c r="J89" s="132">
        <f t="shared" si="5"/>
        <v>7</v>
      </c>
      <c r="L89" s="132"/>
    </row>
    <row r="90" spans="1:13" ht="18">
      <c r="A90" s="132">
        <f t="shared" si="4"/>
        <v>8</v>
      </c>
      <c r="B90" s="128" t="s">
        <v>328</v>
      </c>
      <c r="D90" s="505"/>
      <c r="E90" s="505"/>
      <c r="F90" s="505"/>
      <c r="G90" s="252">
        <v>5524.3721700000006</v>
      </c>
      <c r="H90" s="505"/>
      <c r="I90" s="236" t="s">
        <v>600</v>
      </c>
      <c r="J90" s="132">
        <f t="shared" si="5"/>
        <v>8</v>
      </c>
      <c r="L90" s="505"/>
    </row>
    <row r="91" spans="1:13">
      <c r="A91" s="132">
        <f t="shared" si="4"/>
        <v>9</v>
      </c>
      <c r="B91" s="128" t="s">
        <v>329</v>
      </c>
      <c r="D91" s="505"/>
      <c r="E91" s="253"/>
      <c r="F91" s="505"/>
      <c r="G91" s="805">
        <v>3771049.4535329193</v>
      </c>
      <c r="H91" s="671" t="s">
        <v>460</v>
      </c>
      <c r="I91" s="236" t="s">
        <v>729</v>
      </c>
      <c r="J91" s="132">
        <f t="shared" si="5"/>
        <v>9</v>
      </c>
    </row>
    <row r="92" spans="1:13">
      <c r="A92" s="132">
        <f t="shared" si="4"/>
        <v>10</v>
      </c>
      <c r="B92" s="128" t="s">
        <v>330</v>
      </c>
      <c r="D92" s="254"/>
      <c r="E92" s="505"/>
      <c r="F92" s="505"/>
      <c r="G92" s="595">
        <v>0.21</v>
      </c>
      <c r="H92" s="505"/>
      <c r="I92" s="227" t="s">
        <v>331</v>
      </c>
      <c r="J92" s="132">
        <f t="shared" si="5"/>
        <v>10</v>
      </c>
      <c r="M92" s="255"/>
    </row>
    <row r="93" spans="1:13">
      <c r="A93" s="132">
        <f t="shared" si="4"/>
        <v>11</v>
      </c>
      <c r="G93" s="132"/>
      <c r="H93" s="132"/>
      <c r="J93" s="132">
        <f t="shared" si="5"/>
        <v>11</v>
      </c>
    </row>
    <row r="94" spans="1:13">
      <c r="A94" s="132">
        <f t="shared" si="4"/>
        <v>12</v>
      </c>
      <c r="B94" s="128" t="s">
        <v>332</v>
      </c>
      <c r="D94" s="505"/>
      <c r="E94" s="505"/>
      <c r="F94" s="505"/>
      <c r="G94" s="908">
        <f>(((G88)+(G90/G91))*G92-(G89/G91))/(1-G92)</f>
        <v>1.5028675634735568E-2</v>
      </c>
      <c r="H94" s="671" t="s">
        <v>460</v>
      </c>
      <c r="I94" s="227" t="s">
        <v>333</v>
      </c>
      <c r="J94" s="132">
        <f t="shared" si="5"/>
        <v>12</v>
      </c>
      <c r="M94" s="257"/>
    </row>
    <row r="95" spans="1:13">
      <c r="A95" s="132">
        <f t="shared" si="4"/>
        <v>13</v>
      </c>
      <c r="B95" s="258" t="s">
        <v>334</v>
      </c>
      <c r="G95" s="132"/>
      <c r="H95" s="132"/>
      <c r="J95" s="132">
        <f t="shared" si="5"/>
        <v>13</v>
      </c>
    </row>
    <row r="96" spans="1:13">
      <c r="A96" s="132">
        <f t="shared" si="4"/>
        <v>14</v>
      </c>
      <c r="G96" s="132"/>
      <c r="H96" s="132"/>
      <c r="J96" s="132">
        <f t="shared" si="5"/>
        <v>14</v>
      </c>
    </row>
    <row r="97" spans="1:12">
      <c r="A97" s="132">
        <f t="shared" si="4"/>
        <v>15</v>
      </c>
      <c r="B97" s="221" t="s">
        <v>335</v>
      </c>
      <c r="C97" s="505"/>
      <c r="D97" s="505"/>
      <c r="E97" s="505"/>
      <c r="F97" s="505"/>
      <c r="G97" s="259"/>
      <c r="H97" s="259"/>
      <c r="I97" s="260"/>
      <c r="J97" s="132">
        <f t="shared" si="5"/>
        <v>15</v>
      </c>
      <c r="L97" s="261"/>
    </row>
    <row r="98" spans="1:12">
      <c r="A98" s="132">
        <f t="shared" si="4"/>
        <v>16</v>
      </c>
      <c r="B98" s="228"/>
      <c r="C98" s="505"/>
      <c r="D98" s="505"/>
      <c r="E98" s="505"/>
      <c r="F98" s="505"/>
      <c r="G98" s="259"/>
      <c r="H98" s="259"/>
      <c r="I98" s="262"/>
      <c r="J98" s="132">
        <f t="shared" si="5"/>
        <v>16</v>
      </c>
      <c r="L98" s="505"/>
    </row>
    <row r="99" spans="1:12">
      <c r="A99" s="132">
        <f t="shared" si="4"/>
        <v>17</v>
      </c>
      <c r="B99" s="216" t="s">
        <v>325</v>
      </c>
      <c r="C99" s="505"/>
      <c r="D99" s="505"/>
      <c r="E99" s="505"/>
      <c r="F99" s="505"/>
      <c r="G99" s="259"/>
      <c r="H99" s="259"/>
      <c r="I99" s="262"/>
      <c r="J99" s="132">
        <f t="shared" si="5"/>
        <v>17</v>
      </c>
      <c r="L99" s="505"/>
    </row>
    <row r="100" spans="1:12">
      <c r="A100" s="132">
        <f t="shared" si="4"/>
        <v>18</v>
      </c>
      <c r="B100" s="128" t="s">
        <v>326</v>
      </c>
      <c r="D100" s="505"/>
      <c r="E100" s="505"/>
      <c r="F100" s="505"/>
      <c r="G100" s="242">
        <f>G88</f>
        <v>5.5405833848126189E-2</v>
      </c>
      <c r="H100" s="242"/>
      <c r="I100" s="227" t="s">
        <v>509</v>
      </c>
      <c r="J100" s="132">
        <f t="shared" si="5"/>
        <v>18</v>
      </c>
      <c r="L100" s="132"/>
    </row>
    <row r="101" spans="1:12">
      <c r="A101" s="132">
        <f t="shared" si="4"/>
        <v>19</v>
      </c>
      <c r="B101" s="128" t="s">
        <v>336</v>
      </c>
      <c r="D101" s="505"/>
      <c r="E101" s="505"/>
      <c r="F101" s="505"/>
      <c r="G101" s="183">
        <f>G90</f>
        <v>5524.3721700000006</v>
      </c>
      <c r="H101" s="183"/>
      <c r="I101" s="227" t="s">
        <v>601</v>
      </c>
      <c r="J101" s="132">
        <f t="shared" si="5"/>
        <v>19</v>
      </c>
      <c r="L101" s="132"/>
    </row>
    <row r="102" spans="1:12">
      <c r="A102" s="132">
        <f t="shared" si="4"/>
        <v>20</v>
      </c>
      <c r="B102" s="128" t="s">
        <v>337</v>
      </c>
      <c r="D102" s="505"/>
      <c r="E102" s="505"/>
      <c r="F102" s="505"/>
      <c r="G102" s="828">
        <f>G91</f>
        <v>3771049.4535329193</v>
      </c>
      <c r="H102" s="671" t="s">
        <v>460</v>
      </c>
      <c r="I102" s="227" t="s">
        <v>602</v>
      </c>
      <c r="J102" s="132">
        <f t="shared" si="5"/>
        <v>20</v>
      </c>
      <c r="L102" s="132"/>
    </row>
    <row r="103" spans="1:12">
      <c r="A103" s="132">
        <f t="shared" si="4"/>
        <v>21</v>
      </c>
      <c r="B103" s="128" t="s">
        <v>338</v>
      </c>
      <c r="D103" s="505"/>
      <c r="E103" s="505"/>
      <c r="F103" s="505"/>
      <c r="G103" s="909">
        <f>G94</f>
        <v>1.5028675634735568E-2</v>
      </c>
      <c r="H103" s="671" t="s">
        <v>460</v>
      </c>
      <c r="I103" s="227" t="s">
        <v>603</v>
      </c>
      <c r="J103" s="132">
        <f t="shared" si="5"/>
        <v>21</v>
      </c>
    </row>
    <row r="104" spans="1:12">
      <c r="A104" s="132">
        <f t="shared" si="4"/>
        <v>22</v>
      </c>
      <c r="B104" s="128" t="s">
        <v>339</v>
      </c>
      <c r="D104" s="505"/>
      <c r="E104" s="505"/>
      <c r="F104" s="505"/>
      <c r="G104" s="596" t="s">
        <v>340</v>
      </c>
      <c r="H104" s="505"/>
      <c r="I104" s="227" t="s">
        <v>341</v>
      </c>
      <c r="J104" s="132">
        <f t="shared" si="5"/>
        <v>22</v>
      </c>
    </row>
    <row r="105" spans="1:12">
      <c r="A105" s="132">
        <f t="shared" si="4"/>
        <v>23</v>
      </c>
      <c r="B105" s="131"/>
      <c r="D105" s="505"/>
      <c r="E105" s="505"/>
      <c r="F105" s="505"/>
      <c r="G105" s="264"/>
      <c r="H105" s="264"/>
      <c r="I105" s="262"/>
      <c r="J105" s="132">
        <f t="shared" si="5"/>
        <v>23</v>
      </c>
    </row>
    <row r="106" spans="1:12">
      <c r="A106" s="132">
        <f t="shared" si="4"/>
        <v>24</v>
      </c>
      <c r="B106" s="128" t="s">
        <v>342</v>
      </c>
      <c r="C106" s="132"/>
      <c r="D106" s="132"/>
      <c r="E106" s="505"/>
      <c r="F106" s="505"/>
      <c r="G106" s="910">
        <f>((G100)+(G101/G102)+G94)*G104/(1-G104)</f>
        <v>6.9722593152242414E-3</v>
      </c>
      <c r="H106" s="671" t="s">
        <v>460</v>
      </c>
      <c r="I106" s="227" t="s">
        <v>343</v>
      </c>
      <c r="J106" s="132">
        <f t="shared" si="5"/>
        <v>24</v>
      </c>
    </row>
    <row r="107" spans="1:12">
      <c r="A107" s="132">
        <f t="shared" si="4"/>
        <v>25</v>
      </c>
      <c r="B107" s="258" t="s">
        <v>344</v>
      </c>
      <c r="G107" s="132"/>
      <c r="H107" s="132"/>
      <c r="I107" s="227"/>
      <c r="J107" s="132">
        <f t="shared" si="5"/>
        <v>25</v>
      </c>
      <c r="L107" s="132"/>
    </row>
    <row r="108" spans="1:12">
      <c r="A108" s="132">
        <f t="shared" si="4"/>
        <v>26</v>
      </c>
      <c r="G108" s="132"/>
      <c r="H108" s="132"/>
      <c r="I108" s="227"/>
      <c r="J108" s="132">
        <f t="shared" si="5"/>
        <v>26</v>
      </c>
      <c r="L108" s="132"/>
    </row>
    <row r="109" spans="1:12">
      <c r="A109" s="132">
        <f t="shared" si="4"/>
        <v>27</v>
      </c>
      <c r="B109" s="221" t="s">
        <v>345</v>
      </c>
      <c r="G109" s="908">
        <f>G106+G94</f>
        <v>2.2000934949959809E-2</v>
      </c>
      <c r="H109" s="671" t="s">
        <v>460</v>
      </c>
      <c r="I109" s="227" t="s">
        <v>604</v>
      </c>
      <c r="J109" s="132">
        <f t="shared" si="5"/>
        <v>27</v>
      </c>
      <c r="L109" s="132"/>
    </row>
    <row r="110" spans="1:12">
      <c r="A110" s="132">
        <f t="shared" si="4"/>
        <v>28</v>
      </c>
      <c r="G110" s="132"/>
      <c r="H110" s="132"/>
      <c r="I110" s="227"/>
      <c r="J110" s="132">
        <f t="shared" si="5"/>
        <v>28</v>
      </c>
      <c r="L110" s="132"/>
    </row>
    <row r="111" spans="1:12">
      <c r="A111" s="132">
        <f t="shared" si="4"/>
        <v>29</v>
      </c>
      <c r="B111" s="221" t="s">
        <v>346</v>
      </c>
      <c r="G111" s="598">
        <f>G51</f>
        <v>7.4349947233050315E-2</v>
      </c>
      <c r="H111" s="505"/>
      <c r="I111" s="227" t="s">
        <v>605</v>
      </c>
      <c r="J111" s="132">
        <f t="shared" si="5"/>
        <v>29</v>
      </c>
      <c r="L111" s="132"/>
    </row>
    <row r="112" spans="1:12">
      <c r="A112" s="132">
        <f t="shared" si="4"/>
        <v>30</v>
      </c>
      <c r="G112" s="242"/>
      <c r="H112" s="242"/>
      <c r="I112" s="227"/>
      <c r="J112" s="132">
        <f t="shared" si="5"/>
        <v>30</v>
      </c>
      <c r="L112" s="132"/>
    </row>
    <row r="113" spans="1:13" ht="18" thickBot="1">
      <c r="A113" s="132">
        <f t="shared" si="4"/>
        <v>31</v>
      </c>
      <c r="B113" s="221" t="s">
        <v>347</v>
      </c>
      <c r="G113" s="907">
        <f>G109+G111</f>
        <v>9.635088218301012E-2</v>
      </c>
      <c r="H113" s="671" t="s">
        <v>460</v>
      </c>
      <c r="I113" s="227" t="s">
        <v>606</v>
      </c>
      <c r="J113" s="132">
        <f t="shared" si="5"/>
        <v>31</v>
      </c>
      <c r="L113" s="266"/>
      <c r="M113" s="257"/>
    </row>
    <row r="114" spans="1:13" ht="16" thickTop="1">
      <c r="B114" s="221"/>
      <c r="G114" s="267"/>
      <c r="H114" s="267"/>
      <c r="I114" s="227"/>
      <c r="J114" s="132"/>
      <c r="L114" s="266"/>
      <c r="M114" s="257"/>
    </row>
    <row r="115" spans="1:13">
      <c r="B115" s="221"/>
      <c r="G115" s="267"/>
      <c r="H115" s="267"/>
      <c r="I115" s="227"/>
      <c r="J115" s="132"/>
      <c r="L115" s="266"/>
      <c r="M115" s="257"/>
    </row>
    <row r="116" spans="1:13">
      <c r="A116" s="671" t="s">
        <v>460</v>
      </c>
      <c r="B116" s="111" t="s">
        <v>687</v>
      </c>
      <c r="G116" s="267"/>
      <c r="H116" s="267"/>
      <c r="I116" s="227"/>
      <c r="J116" s="132"/>
      <c r="L116" s="266"/>
      <c r="M116" s="257"/>
    </row>
    <row r="117" spans="1:13" ht="18.5">
      <c r="A117" s="213">
        <v>1</v>
      </c>
      <c r="B117" s="1" t="s">
        <v>348</v>
      </c>
      <c r="G117" s="267"/>
      <c r="H117" s="267"/>
      <c r="I117" s="227"/>
      <c r="J117" s="132"/>
      <c r="L117" s="266"/>
      <c r="M117" s="257"/>
    </row>
    <row r="118" spans="1:13" ht="18.5">
      <c r="A118" s="213"/>
      <c r="B118" s="1"/>
      <c r="G118" s="267"/>
      <c r="H118" s="267"/>
      <c r="I118" s="227"/>
      <c r="J118" s="132"/>
      <c r="L118" s="266"/>
      <c r="M118" s="257"/>
    </row>
    <row r="119" spans="1:13">
      <c r="A119" s="268"/>
      <c r="B119" s="131"/>
      <c r="C119" s="269"/>
      <c r="D119" s="269"/>
      <c r="E119" s="269"/>
      <c r="F119" s="269"/>
      <c r="G119" s="270"/>
      <c r="H119" s="270"/>
      <c r="I119" s="271"/>
      <c r="J119" s="132"/>
    </row>
    <row r="120" spans="1:13">
      <c r="B120" s="1028" t="s">
        <v>0</v>
      </c>
      <c r="C120" s="1028"/>
      <c r="D120" s="1028"/>
      <c r="E120" s="1028"/>
      <c r="F120" s="1028"/>
      <c r="G120" s="1028"/>
      <c r="H120" s="1028"/>
      <c r="I120" s="1028"/>
      <c r="J120" s="132"/>
    </row>
    <row r="121" spans="1:13">
      <c r="B121" s="1028" t="s">
        <v>322</v>
      </c>
      <c r="C121" s="1028"/>
      <c r="D121" s="1028"/>
      <c r="E121" s="1028"/>
      <c r="F121" s="1028"/>
      <c r="G121" s="1028"/>
      <c r="H121" s="1028"/>
      <c r="I121" s="1028"/>
      <c r="J121" s="132"/>
    </row>
    <row r="122" spans="1:13">
      <c r="B122" s="1028" t="s">
        <v>261</v>
      </c>
      <c r="C122" s="1028"/>
      <c r="D122" s="1028"/>
      <c r="E122" s="1028"/>
      <c r="F122" s="1028"/>
      <c r="G122" s="1028"/>
      <c r="H122" s="1028"/>
      <c r="I122" s="1028"/>
      <c r="J122" s="132"/>
    </row>
    <row r="123" spans="1:13">
      <c r="B123" s="1029" t="str">
        <f>B6</f>
        <v>Base Period &amp; True-Up Period 12 - Months Ending December 31, 2017</v>
      </c>
      <c r="C123" s="1029"/>
      <c r="D123" s="1029"/>
      <c r="E123" s="1029"/>
      <c r="F123" s="1029"/>
      <c r="G123" s="1029"/>
      <c r="H123" s="1029"/>
      <c r="I123" s="1029"/>
      <c r="J123" s="132"/>
    </row>
    <row r="124" spans="1:13">
      <c r="B124" s="1030" t="s">
        <v>1</v>
      </c>
      <c r="C124" s="1031"/>
      <c r="D124" s="1031"/>
      <c r="E124" s="1031"/>
      <c r="F124" s="1031"/>
      <c r="G124" s="1031"/>
      <c r="H124" s="1031"/>
      <c r="I124" s="1031"/>
      <c r="J124" s="132"/>
    </row>
    <row r="125" spans="1:13">
      <c r="B125" s="132"/>
      <c r="C125" s="132"/>
      <c r="D125" s="132"/>
      <c r="E125" s="132"/>
      <c r="F125" s="132"/>
      <c r="G125" s="505"/>
      <c r="H125" s="505"/>
      <c r="I125" s="227"/>
      <c r="J125" s="132"/>
    </row>
    <row r="126" spans="1:13">
      <c r="A126" s="132" t="s">
        <v>2</v>
      </c>
      <c r="B126" s="505"/>
      <c r="C126" s="505"/>
      <c r="D126" s="505"/>
      <c r="E126" s="505"/>
      <c r="F126" s="505"/>
      <c r="G126" s="505"/>
      <c r="H126" s="505"/>
      <c r="I126" s="227"/>
      <c r="J126" s="132" t="s">
        <v>2</v>
      </c>
    </row>
    <row r="127" spans="1:13">
      <c r="A127" s="132" t="s">
        <v>3</v>
      </c>
      <c r="B127" s="132"/>
      <c r="C127" s="132"/>
      <c r="D127" s="132"/>
      <c r="E127" s="132"/>
      <c r="F127" s="132"/>
      <c r="G127" s="561" t="s">
        <v>33</v>
      </c>
      <c r="H127" s="505"/>
      <c r="I127" s="584" t="s">
        <v>5</v>
      </c>
      <c r="J127" s="132" t="s">
        <v>3</v>
      </c>
    </row>
    <row r="128" spans="1:13">
      <c r="G128" s="132"/>
      <c r="H128" s="132"/>
      <c r="I128" s="227"/>
      <c r="J128" s="132"/>
    </row>
    <row r="129" spans="1:10" ht="18">
      <c r="A129" s="132">
        <v>1</v>
      </c>
      <c r="B129" s="221" t="s">
        <v>349</v>
      </c>
      <c r="E129" s="505"/>
      <c r="F129" s="505"/>
      <c r="G129" s="209"/>
      <c r="H129" s="209"/>
      <c r="I129" s="227"/>
      <c r="J129" s="132">
        <v>1</v>
      </c>
    </row>
    <row r="130" spans="1:10">
      <c r="A130" s="132">
        <f>A129+1</f>
        <v>2</v>
      </c>
      <c r="B130" s="248"/>
      <c r="E130" s="505"/>
      <c r="F130" s="505"/>
      <c r="G130" s="209"/>
      <c r="H130" s="209"/>
      <c r="I130" s="227"/>
      <c r="J130" s="132">
        <f>J129+1</f>
        <v>2</v>
      </c>
    </row>
    <row r="131" spans="1:10">
      <c r="A131" s="132">
        <f>A130+1</f>
        <v>3</v>
      </c>
      <c r="B131" s="221" t="s">
        <v>324</v>
      </c>
      <c r="E131" s="505"/>
      <c r="F131" s="505"/>
      <c r="G131" s="209"/>
      <c r="H131" s="209"/>
      <c r="I131" s="227"/>
      <c r="J131" s="132">
        <f>J130+1</f>
        <v>3</v>
      </c>
    </row>
    <row r="132" spans="1:10">
      <c r="A132" s="132">
        <f>A131+1</f>
        <v>4</v>
      </c>
      <c r="B132" s="505"/>
      <c r="C132" s="505"/>
      <c r="D132" s="505"/>
      <c r="E132" s="505"/>
      <c r="F132" s="505"/>
      <c r="G132" s="209"/>
      <c r="H132" s="209"/>
      <c r="I132" s="227"/>
      <c r="J132" s="132">
        <f>J131+1</f>
        <v>4</v>
      </c>
    </row>
    <row r="133" spans="1:10">
      <c r="A133" s="132">
        <f t="shared" ref="A133:A159" si="6">A132+1</f>
        <v>5</v>
      </c>
      <c r="B133" s="216" t="s">
        <v>325</v>
      </c>
      <c r="C133" s="505"/>
      <c r="D133" s="505"/>
      <c r="E133" s="505"/>
      <c r="F133" s="505"/>
      <c r="G133" s="209"/>
      <c r="H133" s="209"/>
      <c r="I133" s="249"/>
      <c r="J133" s="132">
        <f t="shared" ref="J133:J159" si="7">J132+1</f>
        <v>5</v>
      </c>
    </row>
    <row r="134" spans="1:10">
      <c r="A134" s="132">
        <f t="shared" si="6"/>
        <v>6</v>
      </c>
      <c r="B134" s="128" t="str">
        <f>B88</f>
        <v xml:space="preserve">     A = Sum of Preferred Stock and Return on Equity Component</v>
      </c>
      <c r="D134" s="505"/>
      <c r="E134" s="505"/>
      <c r="F134" s="505"/>
      <c r="G134" s="250">
        <f>G66</f>
        <v>0</v>
      </c>
      <c r="H134" s="505"/>
      <c r="I134" s="227" t="s">
        <v>607</v>
      </c>
      <c r="J134" s="132">
        <f t="shared" si="7"/>
        <v>6</v>
      </c>
    </row>
    <row r="135" spans="1:10">
      <c r="A135" s="132">
        <f t="shared" si="6"/>
        <v>7</v>
      </c>
      <c r="B135" s="128" t="str">
        <f>B89</f>
        <v xml:space="preserve">     B = Transmission Total Federal Tax Adjustments</v>
      </c>
      <c r="D135" s="505"/>
      <c r="E135" s="505"/>
      <c r="F135" s="505"/>
      <c r="G135" s="272">
        <v>0</v>
      </c>
      <c r="H135" s="505"/>
      <c r="I135" s="227" t="s">
        <v>350</v>
      </c>
      <c r="J135" s="132">
        <f t="shared" si="7"/>
        <v>7</v>
      </c>
    </row>
    <row r="136" spans="1:10" ht="18">
      <c r="A136" s="132">
        <f t="shared" si="6"/>
        <v>8</v>
      </c>
      <c r="B136" s="128" t="s">
        <v>328</v>
      </c>
      <c r="D136" s="505"/>
      <c r="E136" s="505"/>
      <c r="F136" s="505"/>
      <c r="G136" s="252">
        <v>0</v>
      </c>
      <c r="H136" s="505"/>
      <c r="I136" s="236"/>
      <c r="J136" s="132">
        <f t="shared" si="7"/>
        <v>8</v>
      </c>
    </row>
    <row r="137" spans="1:10">
      <c r="A137" s="132">
        <f t="shared" si="6"/>
        <v>9</v>
      </c>
      <c r="B137" s="128" t="s">
        <v>351</v>
      </c>
      <c r="D137" s="505"/>
      <c r="E137" s="505"/>
      <c r="F137" s="505"/>
      <c r="G137" s="251">
        <v>0</v>
      </c>
      <c r="H137" s="505"/>
      <c r="I137" s="227" t="s">
        <v>608</v>
      </c>
      <c r="J137" s="132">
        <f t="shared" si="7"/>
        <v>9</v>
      </c>
    </row>
    <row r="138" spans="1:10">
      <c r="A138" s="132">
        <f t="shared" si="6"/>
        <v>10</v>
      </c>
      <c r="B138" s="128" t="str">
        <f>B92</f>
        <v xml:space="preserve">     FT = Federal Income Tax Rate for Rate Effective Period</v>
      </c>
      <c r="D138" s="505"/>
      <c r="E138" s="505"/>
      <c r="F138" s="505"/>
      <c r="G138" s="600">
        <f>G92</f>
        <v>0.21</v>
      </c>
      <c r="H138" s="505"/>
      <c r="I138" s="227" t="s">
        <v>609</v>
      </c>
      <c r="J138" s="132">
        <f t="shared" si="7"/>
        <v>10</v>
      </c>
    </row>
    <row r="139" spans="1:10">
      <c r="A139" s="132">
        <f t="shared" si="6"/>
        <v>11</v>
      </c>
      <c r="G139" s="132"/>
      <c r="H139" s="132"/>
      <c r="J139" s="132">
        <f t="shared" si="7"/>
        <v>11</v>
      </c>
    </row>
    <row r="140" spans="1:10">
      <c r="A140" s="132">
        <f t="shared" si="6"/>
        <v>12</v>
      </c>
      <c r="B140" s="128" t="s">
        <v>352</v>
      </c>
      <c r="D140" s="505"/>
      <c r="E140" s="505"/>
      <c r="F140" s="505"/>
      <c r="G140" s="256">
        <f>IFERROR((((G134)+(G136/G137))*G138-(G135/G137))/(1-G138),0)</f>
        <v>0</v>
      </c>
      <c r="H140" s="256"/>
      <c r="I140" s="227" t="s">
        <v>353</v>
      </c>
      <c r="J140" s="132">
        <f t="shared" si="7"/>
        <v>12</v>
      </c>
    </row>
    <row r="141" spans="1:10">
      <c r="A141" s="132">
        <f t="shared" si="6"/>
        <v>13</v>
      </c>
      <c r="B141" s="258" t="s">
        <v>334</v>
      </c>
      <c r="D141" s="258"/>
      <c r="G141" s="273"/>
      <c r="H141" s="273"/>
      <c r="J141" s="132">
        <f t="shared" si="7"/>
        <v>13</v>
      </c>
    </row>
    <row r="142" spans="1:10">
      <c r="A142" s="132">
        <f t="shared" si="6"/>
        <v>14</v>
      </c>
      <c r="G142" s="132"/>
      <c r="H142" s="132"/>
      <c r="J142" s="132">
        <f t="shared" si="7"/>
        <v>14</v>
      </c>
    </row>
    <row r="143" spans="1:10">
      <c r="A143" s="132">
        <f t="shared" si="6"/>
        <v>15</v>
      </c>
      <c r="B143" s="221" t="s">
        <v>335</v>
      </c>
      <c r="C143" s="505"/>
      <c r="D143" s="505"/>
      <c r="E143" s="505"/>
      <c r="F143" s="505"/>
      <c r="G143" s="259"/>
      <c r="H143" s="259"/>
      <c r="I143" s="260"/>
      <c r="J143" s="132">
        <f t="shared" si="7"/>
        <v>15</v>
      </c>
    </row>
    <row r="144" spans="1:10">
      <c r="A144" s="132">
        <f t="shared" si="6"/>
        <v>16</v>
      </c>
      <c r="B144" s="228"/>
      <c r="C144" s="505"/>
      <c r="D144" s="505"/>
      <c r="E144" s="505"/>
      <c r="F144" s="505"/>
      <c r="G144" s="259"/>
      <c r="H144" s="259"/>
      <c r="I144" s="249"/>
      <c r="J144" s="132">
        <f t="shared" si="7"/>
        <v>16</v>
      </c>
    </row>
    <row r="145" spans="1:10">
      <c r="A145" s="132">
        <f t="shared" si="6"/>
        <v>17</v>
      </c>
      <c r="B145" s="216" t="s">
        <v>325</v>
      </c>
      <c r="C145" s="505"/>
      <c r="D145" s="505"/>
      <c r="E145" s="505"/>
      <c r="F145" s="505"/>
      <c r="G145" s="259"/>
      <c r="H145" s="259"/>
      <c r="I145" s="249"/>
      <c r="J145" s="132">
        <f t="shared" si="7"/>
        <v>17</v>
      </c>
    </row>
    <row r="146" spans="1:10">
      <c r="A146" s="132">
        <f t="shared" si="6"/>
        <v>18</v>
      </c>
      <c r="B146" s="128" t="str">
        <f>B100</f>
        <v xml:space="preserve">     A = Sum of Preferred Stock and Return on Equity Component</v>
      </c>
      <c r="D146" s="505"/>
      <c r="E146" s="505"/>
      <c r="F146" s="505"/>
      <c r="G146" s="242">
        <f>G134</f>
        <v>0</v>
      </c>
      <c r="H146" s="242"/>
      <c r="I146" s="227" t="s">
        <v>509</v>
      </c>
      <c r="J146" s="132">
        <f t="shared" si="7"/>
        <v>18</v>
      </c>
    </row>
    <row r="147" spans="1:10">
      <c r="A147" s="132">
        <f t="shared" si="6"/>
        <v>19</v>
      </c>
      <c r="B147" s="128" t="str">
        <f>B101</f>
        <v xml:space="preserve">     B = Equity AFUDC Component of Transmission Depreciation Expense</v>
      </c>
      <c r="D147" s="505"/>
      <c r="E147" s="505"/>
      <c r="F147" s="505"/>
      <c r="G147" s="183">
        <f>G136</f>
        <v>0</v>
      </c>
      <c r="H147" s="183"/>
      <c r="I147" s="227" t="s">
        <v>601</v>
      </c>
      <c r="J147" s="132">
        <f t="shared" si="7"/>
        <v>19</v>
      </c>
    </row>
    <row r="148" spans="1:10">
      <c r="A148" s="132">
        <f t="shared" si="6"/>
        <v>20</v>
      </c>
      <c r="B148" s="128" t="s">
        <v>354</v>
      </c>
      <c r="D148" s="505"/>
      <c r="E148" s="505"/>
      <c r="F148" s="505"/>
      <c r="G148" s="183">
        <f>G137</f>
        <v>0</v>
      </c>
      <c r="H148" s="183"/>
      <c r="I148" s="227" t="s">
        <v>602</v>
      </c>
      <c r="J148" s="132">
        <f t="shared" si="7"/>
        <v>20</v>
      </c>
    </row>
    <row r="149" spans="1:10">
      <c r="A149" s="132">
        <f t="shared" si="6"/>
        <v>21</v>
      </c>
      <c r="B149" s="128" t="str">
        <f>B103</f>
        <v xml:space="preserve">     FT = Federal Income Tax Expense</v>
      </c>
      <c r="D149" s="505"/>
      <c r="E149" s="505"/>
      <c r="F149" s="505"/>
      <c r="G149" s="263">
        <f>G140</f>
        <v>0</v>
      </c>
      <c r="H149" s="263"/>
      <c r="I149" s="227" t="s">
        <v>603</v>
      </c>
      <c r="J149" s="132">
        <f t="shared" si="7"/>
        <v>21</v>
      </c>
    </row>
    <row r="150" spans="1:10">
      <c r="A150" s="132">
        <f t="shared" si="6"/>
        <v>22</v>
      </c>
      <c r="B150" s="128" t="str">
        <f>B104</f>
        <v xml:space="preserve">     ST = State Income Tax Rate for Rate Effective Period</v>
      </c>
      <c r="D150" s="505"/>
      <c r="E150" s="505"/>
      <c r="F150" s="505"/>
      <c r="G150" s="601" t="str">
        <f>G104</f>
        <v>8.84%</v>
      </c>
      <c r="H150" s="505"/>
      <c r="I150" s="227" t="s">
        <v>610</v>
      </c>
      <c r="J150" s="132">
        <f t="shared" si="7"/>
        <v>22</v>
      </c>
    </row>
    <row r="151" spans="1:10">
      <c r="A151" s="132">
        <f t="shared" si="6"/>
        <v>23</v>
      </c>
      <c r="B151" s="131"/>
      <c r="D151" s="505"/>
      <c r="E151" s="505"/>
      <c r="F151" s="505"/>
      <c r="G151" s="264"/>
      <c r="H151" s="264"/>
      <c r="I151" s="262"/>
      <c r="J151" s="132">
        <f t="shared" si="7"/>
        <v>23</v>
      </c>
    </row>
    <row r="152" spans="1:10">
      <c r="A152" s="132">
        <f t="shared" si="6"/>
        <v>24</v>
      </c>
      <c r="B152" s="128" t="s">
        <v>342</v>
      </c>
      <c r="C152" s="132"/>
      <c r="D152" s="132"/>
      <c r="E152" s="505"/>
      <c r="F152" s="505"/>
      <c r="G152" s="597">
        <f>IFERROR(((G146)+(G147/G148)+G140)*G150/(1-G150),0)</f>
        <v>0</v>
      </c>
      <c r="H152" s="265"/>
      <c r="I152" s="227" t="s">
        <v>343</v>
      </c>
      <c r="J152" s="132">
        <f t="shared" si="7"/>
        <v>24</v>
      </c>
    </row>
    <row r="153" spans="1:10">
      <c r="A153" s="132">
        <f t="shared" si="6"/>
        <v>25</v>
      </c>
      <c r="B153" s="258" t="s">
        <v>344</v>
      </c>
      <c r="D153" s="258"/>
      <c r="G153" s="132"/>
      <c r="H153" s="132"/>
      <c r="I153" s="227"/>
      <c r="J153" s="132">
        <f t="shared" si="7"/>
        <v>25</v>
      </c>
    </row>
    <row r="154" spans="1:10">
      <c r="A154" s="132">
        <f t="shared" si="6"/>
        <v>26</v>
      </c>
      <c r="G154" s="132"/>
      <c r="H154" s="132"/>
      <c r="I154" s="227"/>
      <c r="J154" s="132">
        <f t="shared" si="7"/>
        <v>26</v>
      </c>
    </row>
    <row r="155" spans="1:10">
      <c r="A155" s="132">
        <f t="shared" si="6"/>
        <v>27</v>
      </c>
      <c r="B155" s="221" t="s">
        <v>345</v>
      </c>
      <c r="G155" s="256">
        <f>G152+G140</f>
        <v>0</v>
      </c>
      <c r="H155" s="256"/>
      <c r="I155" s="227" t="s">
        <v>604</v>
      </c>
      <c r="J155" s="132">
        <f t="shared" si="7"/>
        <v>27</v>
      </c>
    </row>
    <row r="156" spans="1:10">
      <c r="A156" s="132">
        <f t="shared" si="6"/>
        <v>28</v>
      </c>
      <c r="G156" s="132"/>
      <c r="H156" s="132"/>
      <c r="I156" s="227"/>
      <c r="J156" s="132">
        <f t="shared" si="7"/>
        <v>28</v>
      </c>
    </row>
    <row r="157" spans="1:10">
      <c r="A157" s="132">
        <f t="shared" si="6"/>
        <v>29</v>
      </c>
      <c r="B157" s="221" t="s">
        <v>355</v>
      </c>
      <c r="G157" s="602">
        <f>G64</f>
        <v>1.8944113384924122E-2</v>
      </c>
      <c r="H157" s="505"/>
      <c r="I157" s="227" t="s">
        <v>611</v>
      </c>
      <c r="J157" s="132">
        <f t="shared" si="7"/>
        <v>29</v>
      </c>
    </row>
    <row r="158" spans="1:10">
      <c r="A158" s="132">
        <f t="shared" si="6"/>
        <v>30</v>
      </c>
      <c r="G158" s="132"/>
      <c r="H158" s="132"/>
      <c r="I158" s="227"/>
      <c r="J158" s="132">
        <f t="shared" si="7"/>
        <v>30</v>
      </c>
    </row>
    <row r="159" spans="1:10" ht="18" thickBot="1">
      <c r="A159" s="132">
        <f t="shared" si="6"/>
        <v>31</v>
      </c>
      <c r="B159" s="221" t="s">
        <v>356</v>
      </c>
      <c r="G159" s="603">
        <f>G155+G157</f>
        <v>1.8944113384924122E-2</v>
      </c>
      <c r="H159" s="274"/>
      <c r="I159" s="227" t="s">
        <v>606</v>
      </c>
      <c r="J159" s="132">
        <f t="shared" si="7"/>
        <v>31</v>
      </c>
    </row>
    <row r="160" spans="1:10" ht="16" thickTop="1"/>
    <row r="162" spans="1:2" ht="18">
      <c r="A162" s="234">
        <v>1</v>
      </c>
      <c r="B162" s="1" t="str">
        <f>"The Incentive Cost of Capital Rate Calculation will be tracked and shown separately for each project. As a result, lines "&amp;A129&amp;" through "&amp;A159&amp;" will be repeated for each project."</f>
        <v>The Incentive Cost of Capital Rate Calculation will be tracked and shown separately for each project. As a result, lines 1 through 31 will be repeated for each project.</v>
      </c>
    </row>
    <row r="163" spans="1:2" ht="18">
      <c r="A163" s="234"/>
      <c r="B163" s="1"/>
    </row>
  </sheetData>
  <mergeCells count="15">
    <mergeCell ref="B74:I74"/>
    <mergeCell ref="B3:I3"/>
    <mergeCell ref="B4:I4"/>
    <mergeCell ref="B5:I5"/>
    <mergeCell ref="B6:I6"/>
    <mergeCell ref="B7:I7"/>
    <mergeCell ref="B122:I122"/>
    <mergeCell ref="B123:I123"/>
    <mergeCell ref="B124:I124"/>
    <mergeCell ref="B75:I75"/>
    <mergeCell ref="B76:I76"/>
    <mergeCell ref="B77:I77"/>
    <mergeCell ref="B78:I78"/>
    <mergeCell ref="B120:I120"/>
    <mergeCell ref="B121:I121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 STMT AV WITH FERC AUDIT ADJ INCL IN APPENDIX X CYCLE 12 (ER24-176)</oddHeader>
    <oddFooter>&amp;L&amp;F&amp;CPage 12.&amp;P&amp;R&amp;A</oddFooter>
  </headerFooter>
  <rowBreaks count="2" manualBreakCount="2">
    <brk id="72" max="16383" man="1"/>
    <brk id="118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A73A-239C-4543-A74D-557AB2D0CF2D}">
  <dimension ref="A1:H94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83" style="7" customWidth="1"/>
    <col min="3" max="3" width="16.81640625" style="7" customWidth="1"/>
    <col min="4" max="4" width="1.54296875" style="7" customWidth="1"/>
    <col min="5" max="5" width="38.81640625" style="7" customWidth="1"/>
    <col min="6" max="6" width="5.1796875" style="106" customWidth="1"/>
    <col min="7" max="16384" width="8.81640625" style="7"/>
  </cols>
  <sheetData>
    <row r="1" spans="1:6">
      <c r="A1" s="112"/>
      <c r="B1" s="82"/>
      <c r="C1" s="84"/>
      <c r="D1" s="84"/>
      <c r="E1" s="93"/>
      <c r="F1" s="112"/>
    </row>
    <row r="2" spans="1:6">
      <c r="A2" s="112"/>
      <c r="B2" s="1013" t="s">
        <v>0</v>
      </c>
      <c r="C2" s="1041"/>
      <c r="D2" s="1041"/>
      <c r="E2" s="1041"/>
      <c r="F2" s="112"/>
    </row>
    <row r="3" spans="1:6">
      <c r="A3" s="112" t="s">
        <v>6</v>
      </c>
      <c r="B3" s="1013" t="s">
        <v>357</v>
      </c>
      <c r="C3" s="1041"/>
      <c r="D3" s="1041"/>
      <c r="E3" s="1041"/>
      <c r="F3" s="112" t="s">
        <v>6</v>
      </c>
    </row>
    <row r="4" spans="1:6">
      <c r="A4" s="112"/>
      <c r="B4" s="1038" t="s">
        <v>480</v>
      </c>
      <c r="C4" s="1039"/>
      <c r="D4" s="1039"/>
      <c r="E4" s="1039"/>
      <c r="F4" s="112"/>
    </row>
    <row r="5" spans="1:6">
      <c r="A5" s="112"/>
      <c r="B5" s="1040" t="s">
        <v>1</v>
      </c>
      <c r="C5" s="1041"/>
      <c r="D5" s="1041"/>
      <c r="E5" s="1041"/>
      <c r="F5" s="112"/>
    </row>
    <row r="6" spans="1:6">
      <c r="A6" s="112"/>
      <c r="B6" s="506"/>
      <c r="C6" s="82"/>
      <c r="D6" s="82"/>
      <c r="E6" s="82"/>
      <c r="F6" s="112"/>
    </row>
    <row r="7" spans="1:6">
      <c r="A7" s="112" t="s">
        <v>2</v>
      </c>
      <c r="B7" s="82"/>
      <c r="C7" s="85"/>
      <c r="D7" s="85"/>
      <c r="E7" s="93"/>
      <c r="F7" s="112" t="s">
        <v>2</v>
      </c>
    </row>
    <row r="8" spans="1:6">
      <c r="A8" s="112" t="s">
        <v>3</v>
      </c>
      <c r="B8" s="82" t="s">
        <v>6</v>
      </c>
      <c r="C8" s="604" t="s">
        <v>33</v>
      </c>
      <c r="D8" s="85"/>
      <c r="E8" s="605" t="s">
        <v>5</v>
      </c>
      <c r="F8" s="112" t="s">
        <v>3</v>
      </c>
    </row>
    <row r="9" spans="1:6">
      <c r="A9" s="112"/>
      <c r="B9" s="11" t="s">
        <v>358</v>
      </c>
      <c r="C9" s="88"/>
      <c r="D9" s="85"/>
      <c r="E9" s="93"/>
      <c r="F9" s="112"/>
    </row>
    <row r="10" spans="1:6">
      <c r="A10" s="112"/>
      <c r="B10" s="87"/>
      <c r="C10" s="88"/>
      <c r="D10" s="88"/>
      <c r="E10" s="93"/>
      <c r="F10" s="112"/>
    </row>
    <row r="11" spans="1:6">
      <c r="A11" s="112">
        <v>1</v>
      </c>
      <c r="B11" s="11" t="s">
        <v>359</v>
      </c>
      <c r="C11" s="88"/>
      <c r="D11" s="88"/>
      <c r="E11" s="93"/>
      <c r="F11" s="112">
        <f>A11</f>
        <v>1</v>
      </c>
    </row>
    <row r="12" spans="1:6">
      <c r="A12" s="112">
        <f>A11+1</f>
        <v>2</v>
      </c>
      <c r="B12" s="8" t="s">
        <v>360</v>
      </c>
      <c r="C12" s="459">
        <f>C80</f>
        <v>4230651.4034380764</v>
      </c>
      <c r="D12" s="671"/>
      <c r="E12" s="86" t="s">
        <v>612</v>
      </c>
      <c r="F12" s="112">
        <f>F11+1</f>
        <v>2</v>
      </c>
    </row>
    <row r="13" spans="1:6">
      <c r="A13" s="112">
        <f t="shared" ref="A13:A48" si="0">A12+1</f>
        <v>3</v>
      </c>
      <c r="B13" s="8" t="s">
        <v>152</v>
      </c>
      <c r="C13" s="199">
        <f>C81</f>
        <v>7083.6225724307587</v>
      </c>
      <c r="D13" s="671"/>
      <c r="E13" s="86" t="s">
        <v>483</v>
      </c>
      <c r="F13" s="112">
        <f t="shared" ref="F13:F48" si="1">F12+1</f>
        <v>3</v>
      </c>
    </row>
    <row r="14" spans="1:6">
      <c r="A14" s="112">
        <f t="shared" si="0"/>
        <v>4</v>
      </c>
      <c r="B14" s="8" t="s">
        <v>153</v>
      </c>
      <c r="C14" s="199">
        <f>C82</f>
        <v>22238.044326392737</v>
      </c>
      <c r="D14" s="671"/>
      <c r="E14" s="86" t="s">
        <v>613</v>
      </c>
      <c r="F14" s="112">
        <f t="shared" si="1"/>
        <v>4</v>
      </c>
    </row>
    <row r="15" spans="1:6">
      <c r="A15" s="112">
        <f t="shared" si="0"/>
        <v>5</v>
      </c>
      <c r="B15" s="8" t="s">
        <v>361</v>
      </c>
      <c r="C15" s="606">
        <f>C83</f>
        <v>39958.723719633148</v>
      </c>
      <c r="D15" s="671"/>
      <c r="E15" s="86" t="s">
        <v>614</v>
      </c>
      <c r="F15" s="112">
        <f t="shared" si="1"/>
        <v>5</v>
      </c>
    </row>
    <row r="16" spans="1:6">
      <c r="A16" s="112">
        <f t="shared" si="0"/>
        <v>6</v>
      </c>
      <c r="B16" s="8" t="s">
        <v>362</v>
      </c>
      <c r="C16" s="607">
        <f>SUM(C12:C15)</f>
        <v>4299931.7940565329</v>
      </c>
      <c r="D16" s="671"/>
      <c r="E16" s="86" t="s">
        <v>615</v>
      </c>
      <c r="F16" s="112">
        <f t="shared" si="1"/>
        <v>6</v>
      </c>
    </row>
    <row r="17" spans="1:6">
      <c r="A17" s="112">
        <f t="shared" si="0"/>
        <v>7</v>
      </c>
      <c r="B17" s="83"/>
      <c r="C17" s="463"/>
      <c r="D17" s="89"/>
      <c r="E17" s="93"/>
      <c r="F17" s="112">
        <f t="shared" si="1"/>
        <v>7</v>
      </c>
    </row>
    <row r="18" spans="1:6">
      <c r="A18" s="112">
        <f t="shared" si="0"/>
        <v>8</v>
      </c>
      <c r="B18" s="11" t="s">
        <v>363</v>
      </c>
      <c r="C18" s="463"/>
      <c r="D18" s="89"/>
      <c r="E18" s="93"/>
      <c r="F18" s="112">
        <f t="shared" si="1"/>
        <v>8</v>
      </c>
    </row>
    <row r="19" spans="1:6">
      <c r="A19" s="112">
        <f t="shared" si="0"/>
        <v>9</v>
      </c>
      <c r="B19" s="8" t="s">
        <v>364</v>
      </c>
      <c r="C19" s="464">
        <v>2812.8896153846149</v>
      </c>
      <c r="D19" s="85"/>
      <c r="E19" s="86" t="s">
        <v>616</v>
      </c>
      <c r="F19" s="112">
        <f t="shared" si="1"/>
        <v>9</v>
      </c>
    </row>
    <row r="20" spans="1:6">
      <c r="A20" s="112">
        <f t="shared" si="0"/>
        <v>10</v>
      </c>
      <c r="B20" s="8" t="s">
        <v>365</v>
      </c>
      <c r="C20" s="465">
        <v>0</v>
      </c>
      <c r="D20" s="85"/>
      <c r="E20" s="86" t="s">
        <v>159</v>
      </c>
      <c r="F20" s="112">
        <f t="shared" si="1"/>
        <v>10</v>
      </c>
    </row>
    <row r="21" spans="1:6">
      <c r="A21" s="112">
        <f t="shared" si="0"/>
        <v>11</v>
      </c>
      <c r="B21" s="8" t="s">
        <v>366</v>
      </c>
      <c r="C21" s="608">
        <f>C19+C20</f>
        <v>2812.8896153846149</v>
      </c>
      <c r="D21" s="322"/>
      <c r="E21" s="86" t="s">
        <v>617</v>
      </c>
      <c r="F21" s="112">
        <f t="shared" si="1"/>
        <v>11</v>
      </c>
    </row>
    <row r="22" spans="1:6">
      <c r="A22" s="112">
        <f t="shared" si="0"/>
        <v>12</v>
      </c>
      <c r="B22" s="8"/>
      <c r="C22" s="466"/>
      <c r="D22" s="84"/>
      <c r="E22" s="93"/>
      <c r="F22" s="112">
        <f t="shared" si="1"/>
        <v>12</v>
      </c>
    </row>
    <row r="23" spans="1:6">
      <c r="A23" s="112">
        <f t="shared" si="0"/>
        <v>13</v>
      </c>
      <c r="B23" s="11" t="s">
        <v>367</v>
      </c>
      <c r="C23" s="463"/>
      <c r="D23" s="89"/>
      <c r="E23" s="93"/>
      <c r="F23" s="112">
        <f t="shared" si="1"/>
        <v>13</v>
      </c>
    </row>
    <row r="24" spans="1:6">
      <c r="A24" s="112">
        <f t="shared" si="0"/>
        <v>14</v>
      </c>
      <c r="B24" s="83" t="s">
        <v>368</v>
      </c>
      <c r="C24" s="467">
        <v>-603364.52150000003</v>
      </c>
      <c r="D24" s="671"/>
      <c r="E24" s="86" t="s">
        <v>730</v>
      </c>
      <c r="F24" s="112">
        <f t="shared" si="1"/>
        <v>14</v>
      </c>
    </row>
    <row r="25" spans="1:6">
      <c r="A25" s="112">
        <f t="shared" si="0"/>
        <v>15</v>
      </c>
      <c r="B25" s="83" t="s">
        <v>369</v>
      </c>
      <c r="C25" s="468">
        <v>0</v>
      </c>
      <c r="D25" s="85"/>
      <c r="E25" s="86" t="s">
        <v>618</v>
      </c>
      <c r="F25" s="112">
        <f t="shared" si="1"/>
        <v>15</v>
      </c>
    </row>
    <row r="26" spans="1:6">
      <c r="A26" s="112">
        <f t="shared" si="0"/>
        <v>16</v>
      </c>
      <c r="B26" s="8" t="s">
        <v>370</v>
      </c>
      <c r="C26" s="607">
        <f>SUM(C24:C25)</f>
        <v>-603364.52150000003</v>
      </c>
      <c r="D26" s="671"/>
      <c r="E26" s="86" t="s">
        <v>619</v>
      </c>
      <c r="F26" s="112">
        <f t="shared" si="1"/>
        <v>16</v>
      </c>
    </row>
    <row r="27" spans="1:6">
      <c r="A27" s="112">
        <f t="shared" si="0"/>
        <v>17</v>
      </c>
      <c r="B27" s="82"/>
      <c r="C27" s="469"/>
      <c r="D27" s="90"/>
      <c r="E27" s="93"/>
      <c r="F27" s="112">
        <f t="shared" si="1"/>
        <v>17</v>
      </c>
    </row>
    <row r="28" spans="1:6">
      <c r="A28" s="112">
        <f t="shared" si="0"/>
        <v>18</v>
      </c>
      <c r="B28" s="11" t="s">
        <v>371</v>
      </c>
      <c r="C28" s="469"/>
      <c r="D28" s="90"/>
      <c r="E28" s="93"/>
      <c r="F28" s="112">
        <f t="shared" si="1"/>
        <v>18</v>
      </c>
    </row>
    <row r="29" spans="1:6">
      <c r="A29" s="112">
        <f t="shared" si="0"/>
        <v>19</v>
      </c>
      <c r="B29" s="8" t="s">
        <v>372</v>
      </c>
      <c r="C29" s="459">
        <v>46125.610034466292</v>
      </c>
      <c r="D29" s="671"/>
      <c r="E29" s="86" t="s">
        <v>776</v>
      </c>
      <c r="F29" s="112">
        <f t="shared" si="1"/>
        <v>19</v>
      </c>
    </row>
    <row r="30" spans="1:6">
      <c r="A30" s="112">
        <f t="shared" si="0"/>
        <v>20</v>
      </c>
      <c r="B30" s="8" t="s">
        <v>373</v>
      </c>
      <c r="C30" s="199">
        <v>17171.110417166059</v>
      </c>
      <c r="D30" s="671"/>
      <c r="E30" s="86" t="s">
        <v>777</v>
      </c>
      <c r="F30" s="112">
        <f t="shared" si="1"/>
        <v>20</v>
      </c>
    </row>
    <row r="31" spans="1:6">
      <c r="A31" s="112">
        <f t="shared" si="0"/>
        <v>21</v>
      </c>
      <c r="B31" s="8" t="s">
        <v>374</v>
      </c>
      <c r="C31" s="820">
        <f>'Pg10 Rev Stmt AL'!E29</f>
        <v>8378.4778466512544</v>
      </c>
      <c r="D31" s="671" t="s">
        <v>460</v>
      </c>
      <c r="E31" s="86" t="s">
        <v>775</v>
      </c>
      <c r="F31" s="112">
        <f t="shared" si="1"/>
        <v>21</v>
      </c>
    </row>
    <row r="32" spans="1:6">
      <c r="A32" s="112">
        <f t="shared" si="0"/>
        <v>22</v>
      </c>
      <c r="B32" s="8" t="s">
        <v>375</v>
      </c>
      <c r="C32" s="611">
        <f>SUM(C29:C31)</f>
        <v>71675.198298283605</v>
      </c>
      <c r="D32" s="671" t="s">
        <v>460</v>
      </c>
      <c r="E32" s="86" t="s">
        <v>620</v>
      </c>
      <c r="F32" s="112">
        <f t="shared" si="1"/>
        <v>22</v>
      </c>
    </row>
    <row r="33" spans="1:6">
      <c r="A33" s="112">
        <f t="shared" si="0"/>
        <v>23</v>
      </c>
      <c r="B33" s="70"/>
      <c r="C33" s="470"/>
      <c r="D33" s="91"/>
      <c r="E33" s="93"/>
      <c r="F33" s="112">
        <f t="shared" si="1"/>
        <v>23</v>
      </c>
    </row>
    <row r="34" spans="1:6">
      <c r="A34" s="112">
        <f t="shared" si="0"/>
        <v>24</v>
      </c>
      <c r="B34" s="8" t="s">
        <v>376</v>
      </c>
      <c r="C34" s="609">
        <v>0</v>
      </c>
      <c r="D34" s="85"/>
      <c r="E34" s="86" t="s">
        <v>159</v>
      </c>
      <c r="F34" s="112">
        <f t="shared" si="1"/>
        <v>24</v>
      </c>
    </row>
    <row r="35" spans="1:6">
      <c r="A35" s="112">
        <f t="shared" si="0"/>
        <v>25</v>
      </c>
      <c r="B35" s="8"/>
      <c r="C35" s="470"/>
      <c r="D35" s="91"/>
      <c r="E35" s="93"/>
      <c r="F35" s="112">
        <f t="shared" si="1"/>
        <v>25</v>
      </c>
    </row>
    <row r="36" spans="1:6" ht="16" thickBot="1">
      <c r="A36" s="112">
        <f t="shared" si="0"/>
        <v>26</v>
      </c>
      <c r="B36" s="8" t="s">
        <v>377</v>
      </c>
      <c r="C36" s="821">
        <f>C16+C21+C26+C32+C34</f>
        <v>3771055.3604702014</v>
      </c>
      <c r="D36" s="671" t="s">
        <v>460</v>
      </c>
      <c r="E36" s="86" t="s">
        <v>621</v>
      </c>
      <c r="F36" s="112">
        <f t="shared" si="1"/>
        <v>26</v>
      </c>
    </row>
    <row r="37" spans="1:6" ht="16" thickTop="1">
      <c r="A37" s="112">
        <f t="shared" si="0"/>
        <v>27</v>
      </c>
      <c r="B37" s="70"/>
      <c r="C37" s="471"/>
      <c r="D37" s="92"/>
      <c r="E37" s="93"/>
      <c r="F37" s="112">
        <f t="shared" si="1"/>
        <v>27</v>
      </c>
    </row>
    <row r="38" spans="1:6" ht="18.5">
      <c r="A38" s="112">
        <f t="shared" si="0"/>
        <v>28</v>
      </c>
      <c r="B38" s="11" t="s">
        <v>378</v>
      </c>
      <c r="C38" s="471"/>
      <c r="D38" s="92"/>
      <c r="E38" s="93"/>
      <c r="F38" s="112">
        <f t="shared" si="1"/>
        <v>28</v>
      </c>
    </row>
    <row r="39" spans="1:6">
      <c r="A39" s="112">
        <f t="shared" si="0"/>
        <v>29</v>
      </c>
      <c r="B39" s="8" t="s">
        <v>379</v>
      </c>
      <c r="C39" s="467">
        <f>C89</f>
        <v>0</v>
      </c>
      <c r="D39" s="314"/>
      <c r="E39" s="86" t="s">
        <v>485</v>
      </c>
      <c r="F39" s="112">
        <f t="shared" si="1"/>
        <v>29</v>
      </c>
    </row>
    <row r="40" spans="1:6">
      <c r="A40" s="112">
        <f t="shared" si="0"/>
        <v>30</v>
      </c>
      <c r="B40" s="8" t="s">
        <v>380</v>
      </c>
      <c r="C40" s="472">
        <v>0</v>
      </c>
      <c r="D40" s="85"/>
      <c r="E40" s="86" t="s">
        <v>622</v>
      </c>
      <c r="F40" s="112">
        <f t="shared" si="1"/>
        <v>30</v>
      </c>
    </row>
    <row r="41" spans="1:6">
      <c r="A41" s="112">
        <f t="shared" si="0"/>
        <v>31</v>
      </c>
      <c r="B41" s="83" t="s">
        <v>381</v>
      </c>
      <c r="C41" s="611">
        <f>C39+C40</f>
        <v>0</v>
      </c>
      <c r="D41" s="92"/>
      <c r="E41" s="86" t="s">
        <v>623</v>
      </c>
      <c r="F41" s="112">
        <f t="shared" si="1"/>
        <v>31</v>
      </c>
    </row>
    <row r="42" spans="1:6">
      <c r="A42" s="112">
        <f t="shared" si="0"/>
        <v>32</v>
      </c>
      <c r="B42" s="70"/>
      <c r="C42" s="471"/>
      <c r="D42" s="92"/>
      <c r="E42" s="93"/>
      <c r="F42" s="112">
        <f t="shared" si="1"/>
        <v>32</v>
      </c>
    </row>
    <row r="43" spans="1:6" ht="18.5">
      <c r="A43" s="112">
        <f t="shared" si="0"/>
        <v>33</v>
      </c>
      <c r="B43" s="11" t="s">
        <v>382</v>
      </c>
      <c r="C43" s="471"/>
      <c r="D43" s="92"/>
      <c r="E43" s="93"/>
      <c r="F43" s="112">
        <f t="shared" si="1"/>
        <v>33</v>
      </c>
    </row>
    <row r="44" spans="1:6">
      <c r="A44" s="112">
        <f t="shared" si="0"/>
        <v>34</v>
      </c>
      <c r="B44" s="8" t="s">
        <v>383</v>
      </c>
      <c r="C44" s="473">
        <v>0</v>
      </c>
      <c r="D44" s="85"/>
      <c r="E44" s="86" t="s">
        <v>159</v>
      </c>
      <c r="F44" s="112">
        <f t="shared" si="1"/>
        <v>34</v>
      </c>
    </row>
    <row r="45" spans="1:6">
      <c r="A45" s="112">
        <f t="shared" si="0"/>
        <v>35</v>
      </c>
      <c r="B45" s="83" t="s">
        <v>384</v>
      </c>
      <c r="C45" s="612">
        <v>0</v>
      </c>
      <c r="D45" s="85"/>
      <c r="E45" s="86" t="s">
        <v>624</v>
      </c>
      <c r="F45" s="112">
        <f t="shared" si="1"/>
        <v>35</v>
      </c>
    </row>
    <row r="46" spans="1:6">
      <c r="A46" s="112">
        <f t="shared" si="0"/>
        <v>36</v>
      </c>
      <c r="B46" s="83" t="s">
        <v>385</v>
      </c>
      <c r="C46" s="611">
        <f>C44+C45</f>
        <v>0</v>
      </c>
      <c r="D46" s="92"/>
      <c r="E46" s="86" t="s">
        <v>553</v>
      </c>
      <c r="F46" s="112">
        <f t="shared" si="1"/>
        <v>36</v>
      </c>
    </row>
    <row r="47" spans="1:6">
      <c r="A47" s="112">
        <f t="shared" si="0"/>
        <v>37</v>
      </c>
      <c r="B47" s="70"/>
      <c r="C47" s="471"/>
      <c r="D47" s="92"/>
      <c r="E47" s="93"/>
      <c r="F47" s="112">
        <f t="shared" si="1"/>
        <v>37</v>
      </c>
    </row>
    <row r="48" spans="1:6" ht="19" thickBot="1">
      <c r="A48" s="112">
        <f t="shared" si="0"/>
        <v>38</v>
      </c>
      <c r="B48" s="11" t="s">
        <v>386</v>
      </c>
      <c r="C48" s="613">
        <v>0</v>
      </c>
      <c r="D48" s="85"/>
      <c r="E48" s="86" t="s">
        <v>159</v>
      </c>
      <c r="F48" s="112">
        <f t="shared" si="1"/>
        <v>38</v>
      </c>
    </row>
    <row r="49" spans="1:6" ht="16" thickTop="1">
      <c r="A49" s="112"/>
      <c r="B49" s="70"/>
      <c r="C49" s="92"/>
      <c r="D49" s="92"/>
      <c r="E49" s="93"/>
      <c r="F49" s="112"/>
    </row>
    <row r="50" spans="1:6">
      <c r="A50" s="112"/>
      <c r="B50" s="70"/>
      <c r="C50" s="92"/>
      <c r="D50" s="92"/>
      <c r="E50" s="93"/>
      <c r="F50" s="112"/>
    </row>
    <row r="51" spans="1:6">
      <c r="A51" s="671" t="s">
        <v>460</v>
      </c>
      <c r="B51" s="1009" t="str">
        <f>'Pg10 Rev Stmt AL'!B32</f>
        <v>Items in BOLD have changed to correct the over-allocation of "Duplicate Charges (Company Energy Use)" Credit in FERC Account no. 929.</v>
      </c>
      <c r="C51" s="92"/>
      <c r="D51" s="92"/>
      <c r="E51" s="93"/>
      <c r="F51" s="112"/>
    </row>
    <row r="52" spans="1:6" ht="18">
      <c r="A52" s="347">
        <v>1</v>
      </c>
      <c r="B52" s="204" t="s">
        <v>387</v>
      </c>
      <c r="C52" s="92"/>
      <c r="D52" s="92"/>
      <c r="E52" s="93"/>
      <c r="F52" s="112"/>
    </row>
    <row r="53" spans="1:6" ht="18">
      <c r="A53" s="347"/>
      <c r="B53" s="83" t="s">
        <v>388</v>
      </c>
      <c r="C53" s="92"/>
      <c r="D53" s="92"/>
      <c r="E53" s="93"/>
      <c r="F53" s="112"/>
    </row>
    <row r="54" spans="1:6">
      <c r="A54" s="112"/>
      <c r="B54" s="70"/>
      <c r="C54" s="92"/>
      <c r="D54" s="92"/>
      <c r="E54" s="93"/>
      <c r="F54" s="112"/>
    </row>
    <row r="55" spans="1:6">
      <c r="A55" s="112"/>
      <c r="B55" s="82"/>
      <c r="C55" s="92"/>
      <c r="D55" s="92"/>
      <c r="E55" s="93"/>
      <c r="F55" s="112"/>
    </row>
    <row r="56" spans="1:6">
      <c r="A56" s="112"/>
      <c r="B56" s="1013" t="s">
        <v>57</v>
      </c>
      <c r="C56" s="1041"/>
      <c r="D56" s="1041"/>
      <c r="E56" s="1041"/>
      <c r="F56" s="112"/>
    </row>
    <row r="57" spans="1:6">
      <c r="A57" s="112"/>
      <c r="B57" s="1013" t="s">
        <v>357</v>
      </c>
      <c r="C57" s="1041"/>
      <c r="D57" s="1041"/>
      <c r="E57" s="1041"/>
      <c r="F57" s="112"/>
    </row>
    <row r="58" spans="1:6">
      <c r="A58" s="112"/>
      <c r="B58" s="1038" t="str">
        <f>B4</f>
        <v>Base Period &amp; True-Up Period 12 - Months Ending December 31, 2017</v>
      </c>
      <c r="C58" s="1039"/>
      <c r="D58" s="1039"/>
      <c r="E58" s="1039"/>
      <c r="F58" s="112"/>
    </row>
    <row r="59" spans="1:6">
      <c r="A59" s="112"/>
      <c r="B59" s="1040" t="s">
        <v>1</v>
      </c>
      <c r="C59" s="1041"/>
      <c r="D59" s="1041"/>
      <c r="E59" s="1041"/>
      <c r="F59" s="112"/>
    </row>
    <row r="60" spans="1:6">
      <c r="A60" s="112"/>
      <c r="B60" s="506"/>
      <c r="C60" s="82"/>
      <c r="D60" s="82"/>
      <c r="E60" s="82"/>
      <c r="F60" s="112"/>
    </row>
    <row r="61" spans="1:6">
      <c r="A61" s="112" t="s">
        <v>2</v>
      </c>
      <c r="B61" s="82"/>
      <c r="C61" s="85"/>
      <c r="D61" s="85"/>
      <c r="E61" s="93"/>
      <c r="F61" s="112" t="s">
        <v>2</v>
      </c>
    </row>
    <row r="62" spans="1:6">
      <c r="A62" s="112" t="s">
        <v>3</v>
      </c>
      <c r="B62" s="82" t="s">
        <v>6</v>
      </c>
      <c r="C62" s="604" t="s">
        <v>33</v>
      </c>
      <c r="D62" s="604"/>
      <c r="E62" s="605" t="s">
        <v>5</v>
      </c>
      <c r="F62" s="112" t="s">
        <v>3</v>
      </c>
    </row>
    <row r="63" spans="1:6">
      <c r="A63" s="112"/>
      <c r="B63" s="11" t="s">
        <v>389</v>
      </c>
      <c r="C63" s="85"/>
      <c r="D63" s="85"/>
      <c r="E63" s="93"/>
      <c r="F63" s="112"/>
    </row>
    <row r="64" spans="1:6">
      <c r="A64" s="112"/>
      <c r="B64" s="11"/>
      <c r="C64" s="85"/>
      <c r="D64" s="85"/>
      <c r="E64" s="93"/>
      <c r="F64" s="112"/>
    </row>
    <row r="65" spans="1:8">
      <c r="A65" s="112">
        <v>1</v>
      </c>
      <c r="B65" s="11" t="s">
        <v>390</v>
      </c>
      <c r="C65" s="85"/>
      <c r="D65" s="85"/>
      <c r="E65" s="93"/>
      <c r="F65" s="112">
        <f>A65</f>
        <v>1</v>
      </c>
    </row>
    <row r="66" spans="1:8">
      <c r="A66" s="112">
        <f>A65+1</f>
        <v>2</v>
      </c>
      <c r="B66" s="8" t="s">
        <v>360</v>
      </c>
      <c r="C66" s="474">
        <v>5249985.7493453845</v>
      </c>
      <c r="D66" s="671"/>
      <c r="E66" s="86" t="s">
        <v>731</v>
      </c>
      <c r="F66" s="112">
        <f>F65+1</f>
        <v>2</v>
      </c>
      <c r="G66" s="107"/>
      <c r="H66" s="108"/>
    </row>
    <row r="67" spans="1:8">
      <c r="A67" s="112">
        <f t="shared" ref="A67:A89" si="2">A66+1</f>
        <v>3</v>
      </c>
      <c r="B67" s="8" t="s">
        <v>391</v>
      </c>
      <c r="C67" s="475">
        <v>16872.536416996682</v>
      </c>
      <c r="D67" s="671"/>
      <c r="E67" s="86" t="s">
        <v>732</v>
      </c>
      <c r="F67" s="112">
        <f t="shared" ref="F67:F89" si="3">F66+1</f>
        <v>3</v>
      </c>
      <c r="G67" s="107"/>
      <c r="H67" s="108"/>
    </row>
    <row r="68" spans="1:8">
      <c r="A68" s="112">
        <f t="shared" si="2"/>
        <v>4</v>
      </c>
      <c r="B68" s="8" t="s">
        <v>153</v>
      </c>
      <c r="C68" s="475">
        <v>37219.570635083968</v>
      </c>
      <c r="D68" s="671"/>
      <c r="E68" s="86" t="s">
        <v>733</v>
      </c>
      <c r="F68" s="112">
        <f t="shared" si="3"/>
        <v>4</v>
      </c>
      <c r="G68" s="107"/>
      <c r="H68" s="109"/>
    </row>
    <row r="69" spans="1:8">
      <c r="A69" s="112">
        <f t="shared" si="2"/>
        <v>5</v>
      </c>
      <c r="B69" s="8" t="s">
        <v>361</v>
      </c>
      <c r="C69" s="612">
        <v>81579.657641467376</v>
      </c>
      <c r="D69" s="671"/>
      <c r="E69" s="86" t="s">
        <v>734</v>
      </c>
      <c r="F69" s="112">
        <f t="shared" si="3"/>
        <v>5</v>
      </c>
      <c r="G69" s="108"/>
      <c r="H69" s="108"/>
    </row>
    <row r="70" spans="1:8">
      <c r="A70" s="112">
        <f t="shared" si="2"/>
        <v>6</v>
      </c>
      <c r="B70" s="8" t="s">
        <v>392</v>
      </c>
      <c r="C70" s="607">
        <f>SUM(C66:C69)</f>
        <v>5385657.5140389325</v>
      </c>
      <c r="D70" s="671"/>
      <c r="E70" s="86" t="s">
        <v>615</v>
      </c>
      <c r="F70" s="112">
        <f t="shared" si="3"/>
        <v>6</v>
      </c>
      <c r="G70" s="107"/>
      <c r="H70" s="108"/>
    </row>
    <row r="71" spans="1:8">
      <c r="A71" s="112">
        <f t="shared" si="2"/>
        <v>7</v>
      </c>
      <c r="B71" s="83"/>
      <c r="C71" s="939"/>
      <c r="D71" s="85"/>
      <c r="E71" s="93"/>
      <c r="F71" s="112">
        <f t="shared" si="3"/>
        <v>7</v>
      </c>
      <c r="G71" s="108"/>
      <c r="H71" s="108"/>
    </row>
    <row r="72" spans="1:8">
      <c r="A72" s="112">
        <f t="shared" si="2"/>
        <v>8</v>
      </c>
      <c r="B72" s="10" t="s">
        <v>393</v>
      </c>
      <c r="C72" s="939"/>
      <c r="D72" s="85"/>
      <c r="E72" s="93"/>
      <c r="F72" s="112">
        <f t="shared" si="3"/>
        <v>8</v>
      </c>
      <c r="G72" s="108"/>
      <c r="H72" s="108"/>
    </row>
    <row r="73" spans="1:8">
      <c r="A73" s="112">
        <f t="shared" si="2"/>
        <v>9</v>
      </c>
      <c r="B73" s="83" t="s">
        <v>394</v>
      </c>
      <c r="C73" s="474">
        <v>1019334.3459073078</v>
      </c>
      <c r="D73" s="671"/>
      <c r="E73" s="86" t="s">
        <v>735</v>
      </c>
      <c r="F73" s="112">
        <f t="shared" si="3"/>
        <v>9</v>
      </c>
      <c r="G73" s="108"/>
      <c r="H73" s="108"/>
    </row>
    <row r="74" spans="1:8">
      <c r="A74" s="112">
        <f t="shared" si="2"/>
        <v>10</v>
      </c>
      <c r="B74" s="83" t="s">
        <v>156</v>
      </c>
      <c r="C74" s="475">
        <v>9788.9138445659228</v>
      </c>
      <c r="D74" s="671"/>
      <c r="E74" s="86" t="s">
        <v>736</v>
      </c>
      <c r="F74" s="112">
        <f t="shared" si="3"/>
        <v>10</v>
      </c>
      <c r="G74" s="108"/>
      <c r="H74" s="108"/>
    </row>
    <row r="75" spans="1:8">
      <c r="A75" s="112">
        <f t="shared" si="2"/>
        <v>11</v>
      </c>
      <c r="B75" s="83" t="s">
        <v>395</v>
      </c>
      <c r="C75" s="475">
        <v>14981.526308691231</v>
      </c>
      <c r="D75" s="671"/>
      <c r="E75" s="86" t="s">
        <v>737</v>
      </c>
      <c r="F75" s="112">
        <f t="shared" si="3"/>
        <v>11</v>
      </c>
      <c r="G75" s="108"/>
      <c r="H75" s="108"/>
    </row>
    <row r="76" spans="1:8">
      <c r="A76" s="112">
        <f t="shared" si="2"/>
        <v>12</v>
      </c>
      <c r="B76" s="83" t="s">
        <v>396</v>
      </c>
      <c r="C76" s="612">
        <v>41620.933921834228</v>
      </c>
      <c r="D76" s="671"/>
      <c r="E76" s="86" t="s">
        <v>738</v>
      </c>
      <c r="F76" s="112">
        <f t="shared" si="3"/>
        <v>12</v>
      </c>
      <c r="G76" s="108"/>
      <c r="H76" s="108"/>
    </row>
    <row r="77" spans="1:8">
      <c r="A77" s="112">
        <f t="shared" si="2"/>
        <v>13</v>
      </c>
      <c r="B77" s="323" t="s">
        <v>157</v>
      </c>
      <c r="C77" s="607">
        <f>SUM(C73:C76)</f>
        <v>1085725.7199823994</v>
      </c>
      <c r="D77" s="671"/>
      <c r="E77" s="86" t="s">
        <v>625</v>
      </c>
      <c r="F77" s="112">
        <f t="shared" si="3"/>
        <v>13</v>
      </c>
      <c r="G77" s="108"/>
      <c r="H77" s="108"/>
    </row>
    <row r="78" spans="1:8">
      <c r="A78" s="112">
        <f t="shared" si="2"/>
        <v>14</v>
      </c>
      <c r="B78" s="323"/>
      <c r="C78" s="478"/>
      <c r="D78" s="90"/>
      <c r="E78" s="93"/>
      <c r="F78" s="112">
        <f t="shared" si="3"/>
        <v>14</v>
      </c>
      <c r="G78" s="108"/>
      <c r="H78" s="108"/>
    </row>
    <row r="79" spans="1:8">
      <c r="A79" s="112">
        <f t="shared" si="2"/>
        <v>15</v>
      </c>
      <c r="B79" s="11" t="s">
        <v>359</v>
      </c>
      <c r="C79" s="478"/>
      <c r="D79" s="90"/>
      <c r="E79" s="93"/>
      <c r="F79" s="112">
        <f t="shared" si="3"/>
        <v>15</v>
      </c>
      <c r="G79" s="108"/>
      <c r="H79" s="108"/>
    </row>
    <row r="80" spans="1:8">
      <c r="A80" s="112">
        <f t="shared" si="2"/>
        <v>16</v>
      </c>
      <c r="B80" s="8" t="s">
        <v>360</v>
      </c>
      <c r="C80" s="477">
        <f>C66-C73</f>
        <v>4230651.4034380764</v>
      </c>
      <c r="D80" s="671"/>
      <c r="E80" s="86" t="s">
        <v>626</v>
      </c>
      <c r="F80" s="112">
        <f t="shared" si="3"/>
        <v>16</v>
      </c>
      <c r="G80" s="108"/>
      <c r="H80" s="108"/>
    </row>
    <row r="81" spans="1:8">
      <c r="A81" s="112">
        <f t="shared" si="2"/>
        <v>17</v>
      </c>
      <c r="B81" s="8" t="s">
        <v>152</v>
      </c>
      <c r="C81" s="478">
        <f>C67-C74</f>
        <v>7083.6225724307587</v>
      </c>
      <c r="D81" s="671"/>
      <c r="E81" s="86" t="s">
        <v>627</v>
      </c>
      <c r="F81" s="112">
        <f t="shared" si="3"/>
        <v>17</v>
      </c>
      <c r="G81" s="108"/>
      <c r="H81" s="108"/>
    </row>
    <row r="82" spans="1:8">
      <c r="A82" s="112">
        <f t="shared" si="2"/>
        <v>18</v>
      </c>
      <c r="B82" s="8" t="s">
        <v>153</v>
      </c>
      <c r="C82" s="478">
        <f>C68-C75</f>
        <v>22238.044326392737</v>
      </c>
      <c r="D82" s="671"/>
      <c r="E82" s="86" t="s">
        <v>628</v>
      </c>
      <c r="F82" s="112">
        <f t="shared" si="3"/>
        <v>18</v>
      </c>
    </row>
    <row r="83" spans="1:8">
      <c r="A83" s="112">
        <f t="shared" si="2"/>
        <v>19</v>
      </c>
      <c r="B83" s="8" t="s">
        <v>361</v>
      </c>
      <c r="C83" s="614">
        <f>C69-C76</f>
        <v>39958.723719633148</v>
      </c>
      <c r="D83" s="671"/>
      <c r="E83" s="86" t="s">
        <v>629</v>
      </c>
      <c r="F83" s="112">
        <f t="shared" si="3"/>
        <v>19</v>
      </c>
    </row>
    <row r="84" spans="1:8" ht="16" thickBot="1">
      <c r="A84" s="112">
        <f t="shared" si="2"/>
        <v>20</v>
      </c>
      <c r="B84" s="83" t="s">
        <v>362</v>
      </c>
      <c r="C84" s="615">
        <f>SUM(C80:C83)</f>
        <v>4299931.7940565329</v>
      </c>
      <c r="D84" s="671"/>
      <c r="E84" s="86" t="s">
        <v>630</v>
      </c>
      <c r="F84" s="112">
        <f t="shared" si="3"/>
        <v>20</v>
      </c>
    </row>
    <row r="85" spans="1:8" ht="16" thickTop="1">
      <c r="A85" s="112">
        <f t="shared" si="2"/>
        <v>21</v>
      </c>
      <c r="B85" s="83"/>
      <c r="C85" s="471"/>
      <c r="D85" s="92"/>
      <c r="E85" s="93"/>
      <c r="F85" s="112">
        <f t="shared" si="3"/>
        <v>21</v>
      </c>
    </row>
    <row r="86" spans="1:8" ht="18.5">
      <c r="A86" s="112">
        <f t="shared" si="2"/>
        <v>22</v>
      </c>
      <c r="B86" s="11" t="s">
        <v>397</v>
      </c>
      <c r="C86" s="471"/>
      <c r="D86" s="92"/>
      <c r="E86" s="93"/>
      <c r="F86" s="112">
        <f t="shared" si="3"/>
        <v>22</v>
      </c>
    </row>
    <row r="87" spans="1:8">
      <c r="A87" s="112">
        <f t="shared" si="2"/>
        <v>23</v>
      </c>
      <c r="B87" s="8" t="s">
        <v>398</v>
      </c>
      <c r="C87" s="467">
        <v>0</v>
      </c>
      <c r="D87" s="85"/>
      <c r="E87" s="86" t="s">
        <v>631</v>
      </c>
      <c r="F87" s="112">
        <f t="shared" si="3"/>
        <v>23</v>
      </c>
    </row>
    <row r="88" spans="1:8">
      <c r="A88" s="112">
        <f t="shared" si="2"/>
        <v>24</v>
      </c>
      <c r="B88" s="83" t="s">
        <v>399</v>
      </c>
      <c r="C88" s="612">
        <v>0</v>
      </c>
      <c r="D88" s="85"/>
      <c r="E88" s="86" t="s">
        <v>632</v>
      </c>
      <c r="F88" s="112">
        <f t="shared" si="3"/>
        <v>24</v>
      </c>
    </row>
    <row r="89" spans="1:8" ht="16" thickBot="1">
      <c r="A89" s="112">
        <f t="shared" si="2"/>
        <v>25</v>
      </c>
      <c r="B89" s="8" t="s">
        <v>400</v>
      </c>
      <c r="C89" s="610">
        <f>C87-C88</f>
        <v>0</v>
      </c>
      <c r="D89" s="92"/>
      <c r="E89" s="86" t="s">
        <v>633</v>
      </c>
      <c r="F89" s="112">
        <f t="shared" si="3"/>
        <v>25</v>
      </c>
    </row>
    <row r="90" spans="1:8" ht="16" thickTop="1">
      <c r="A90" s="112"/>
      <c r="B90" s="70"/>
      <c r="C90" s="92"/>
      <c r="D90" s="92"/>
      <c r="E90" s="93"/>
      <c r="F90" s="112"/>
    </row>
    <row r="91" spans="1:8">
      <c r="A91" s="112"/>
      <c r="B91" s="70"/>
      <c r="C91" s="92"/>
      <c r="D91" s="92"/>
      <c r="E91" s="93"/>
      <c r="F91" s="112"/>
    </row>
    <row r="92" spans="1:8" ht="18">
      <c r="A92" s="113">
        <v>1</v>
      </c>
      <c r="B92" s="204" t="s">
        <v>387</v>
      </c>
      <c r="C92" s="92"/>
      <c r="D92" s="92"/>
      <c r="E92" s="93"/>
      <c r="F92" s="112"/>
    </row>
    <row r="93" spans="1:8">
      <c r="A93" s="348"/>
      <c r="B93" s="83" t="s">
        <v>388</v>
      </c>
      <c r="C93" s="92"/>
      <c r="D93" s="92"/>
      <c r="E93" s="93"/>
      <c r="F93" s="112"/>
    </row>
    <row r="94" spans="1:8">
      <c r="A94" s="112"/>
      <c r="B94" s="82"/>
      <c r="C94" s="92"/>
      <c r="D94" s="92"/>
      <c r="E94" s="93"/>
      <c r="F94" s="112"/>
    </row>
  </sheetData>
  <mergeCells count="8">
    <mergeCell ref="B58:E58"/>
    <mergeCell ref="B59:E59"/>
    <mergeCell ref="B2:E2"/>
    <mergeCell ref="B3:E3"/>
    <mergeCell ref="B4:E4"/>
    <mergeCell ref="B5:E5"/>
    <mergeCell ref="B56:E56"/>
    <mergeCell ref="B57:E57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Roman,Bold"&amp;8REVISED</oddHeader>
    <oddFooter>&amp;L&amp;F&amp;CPage 13.&amp;P&amp;R&amp;A</oddFooter>
  </headerFooter>
  <rowBreaks count="1" manualBreakCount="1">
    <brk id="5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FFC4-108E-46E7-8865-871BEDB61B19}">
  <dimension ref="A1:H96"/>
  <sheetViews>
    <sheetView zoomScale="80" zoomScaleNormal="80" workbookViewId="0"/>
  </sheetViews>
  <sheetFormatPr defaultColWidth="8.81640625" defaultRowHeight="15.5"/>
  <cols>
    <col min="1" max="1" width="5.1796875" style="106" customWidth="1"/>
    <col min="2" max="2" width="83" style="7" customWidth="1"/>
    <col min="3" max="3" width="16.81640625" style="7" customWidth="1"/>
    <col min="4" max="4" width="1.54296875" style="7" customWidth="1"/>
    <col min="5" max="5" width="38.81640625" style="7" customWidth="1"/>
    <col min="6" max="6" width="5.1796875" style="106" customWidth="1"/>
    <col min="7" max="16384" width="8.81640625" style="7"/>
  </cols>
  <sheetData>
    <row r="1" spans="1:6">
      <c r="A1" s="914" t="s">
        <v>749</v>
      </c>
    </row>
    <row r="2" spans="1:6">
      <c r="A2" s="112"/>
      <c r="B2" s="82"/>
      <c r="C2" s="84"/>
      <c r="D2" s="84"/>
      <c r="E2" s="93"/>
      <c r="F2" s="112"/>
    </row>
    <row r="3" spans="1:6">
      <c r="A3" s="112"/>
      <c r="B3" s="1013" t="s">
        <v>0</v>
      </c>
      <c r="C3" s="1041"/>
      <c r="D3" s="1041"/>
      <c r="E3" s="1041"/>
      <c r="F3" s="112"/>
    </row>
    <row r="4" spans="1:6">
      <c r="A4" s="112" t="s">
        <v>6</v>
      </c>
      <c r="B4" s="1013" t="s">
        <v>357</v>
      </c>
      <c r="C4" s="1041"/>
      <c r="D4" s="1041"/>
      <c r="E4" s="1041"/>
      <c r="F4" s="112" t="s">
        <v>6</v>
      </c>
    </row>
    <row r="5" spans="1:6">
      <c r="A5" s="112"/>
      <c r="B5" s="1038" t="s">
        <v>480</v>
      </c>
      <c r="C5" s="1039"/>
      <c r="D5" s="1039"/>
      <c r="E5" s="1039"/>
      <c r="F5" s="112"/>
    </row>
    <row r="6" spans="1:6">
      <c r="A6" s="112"/>
      <c r="B6" s="1040" t="s">
        <v>1</v>
      </c>
      <c r="C6" s="1041"/>
      <c r="D6" s="1041"/>
      <c r="E6" s="1041"/>
      <c r="F6" s="112"/>
    </row>
    <row r="7" spans="1:6">
      <c r="A7" s="112"/>
      <c r="B7" s="506"/>
      <c r="C7" s="82"/>
      <c r="D7" s="82"/>
      <c r="E7" s="82"/>
      <c r="F7" s="112"/>
    </row>
    <row r="8" spans="1:6">
      <c r="A8" s="112" t="s">
        <v>2</v>
      </c>
      <c r="B8" s="82"/>
      <c r="C8" s="85"/>
      <c r="D8" s="85"/>
      <c r="E8" s="93"/>
      <c r="F8" s="112" t="s">
        <v>2</v>
      </c>
    </row>
    <row r="9" spans="1:6">
      <c r="A9" s="112" t="s">
        <v>3</v>
      </c>
      <c r="B9" s="82" t="s">
        <v>6</v>
      </c>
      <c r="C9" s="604" t="s">
        <v>33</v>
      </c>
      <c r="D9" s="85"/>
      <c r="E9" s="605" t="s">
        <v>5</v>
      </c>
      <c r="F9" s="112" t="s">
        <v>3</v>
      </c>
    </row>
    <row r="10" spans="1:6">
      <c r="A10" s="112"/>
      <c r="B10" s="11" t="s">
        <v>358</v>
      </c>
      <c r="C10" s="88"/>
      <c r="D10" s="85"/>
      <c r="E10" s="93"/>
      <c r="F10" s="112"/>
    </row>
    <row r="11" spans="1:6">
      <c r="A11" s="112"/>
      <c r="B11" s="87"/>
      <c r="C11" s="88"/>
      <c r="D11" s="88"/>
      <c r="E11" s="93"/>
      <c r="F11" s="112"/>
    </row>
    <row r="12" spans="1:6">
      <c r="A12" s="112">
        <v>1</v>
      </c>
      <c r="B12" s="11" t="s">
        <v>359</v>
      </c>
      <c r="C12" s="88"/>
      <c r="D12" s="88"/>
      <c r="E12" s="93"/>
      <c r="F12" s="112">
        <f>A12</f>
        <v>1</v>
      </c>
    </row>
    <row r="13" spans="1:6">
      <c r="A13" s="112">
        <f>A12+1</f>
        <v>2</v>
      </c>
      <c r="B13" s="8" t="s">
        <v>360</v>
      </c>
      <c r="C13" s="819">
        <f>C81</f>
        <v>4230651.4034380764</v>
      </c>
      <c r="D13" s="671" t="s">
        <v>460</v>
      </c>
      <c r="E13" s="86" t="s">
        <v>612</v>
      </c>
      <c r="F13" s="112">
        <f>F12+1</f>
        <v>2</v>
      </c>
    </row>
    <row r="14" spans="1:6">
      <c r="A14" s="112">
        <f t="shared" ref="A14:A49" si="0">A13+1</f>
        <v>3</v>
      </c>
      <c r="B14" s="8" t="s">
        <v>152</v>
      </c>
      <c r="C14" s="199">
        <f>C82</f>
        <v>7083.6225724307587</v>
      </c>
      <c r="D14" s="671"/>
      <c r="E14" s="86" t="s">
        <v>483</v>
      </c>
      <c r="F14" s="112">
        <f t="shared" ref="F14:F49" si="1">F13+1</f>
        <v>3</v>
      </c>
    </row>
    <row r="15" spans="1:6">
      <c r="A15" s="112">
        <f t="shared" si="0"/>
        <v>4</v>
      </c>
      <c r="B15" s="8" t="s">
        <v>153</v>
      </c>
      <c r="C15" s="816">
        <f>C83</f>
        <v>22238.044326392737</v>
      </c>
      <c r="D15" s="671" t="s">
        <v>460</v>
      </c>
      <c r="E15" s="86" t="s">
        <v>613</v>
      </c>
      <c r="F15" s="112">
        <f t="shared" si="1"/>
        <v>4</v>
      </c>
    </row>
    <row r="16" spans="1:6">
      <c r="A16" s="112">
        <f t="shared" si="0"/>
        <v>5</v>
      </c>
      <c r="B16" s="8" t="s">
        <v>361</v>
      </c>
      <c r="C16" s="820">
        <f>C84</f>
        <v>39958.723719633148</v>
      </c>
      <c r="D16" s="671" t="s">
        <v>460</v>
      </c>
      <c r="E16" s="86" t="s">
        <v>614</v>
      </c>
      <c r="F16" s="112">
        <f t="shared" si="1"/>
        <v>5</v>
      </c>
    </row>
    <row r="17" spans="1:6">
      <c r="A17" s="112">
        <f t="shared" si="0"/>
        <v>6</v>
      </c>
      <c r="B17" s="8" t="s">
        <v>362</v>
      </c>
      <c r="C17" s="611">
        <f>SUM(C13:C16)</f>
        <v>4299931.7940565329</v>
      </c>
      <c r="D17" s="671" t="s">
        <v>460</v>
      </c>
      <c r="E17" s="86" t="s">
        <v>615</v>
      </c>
      <c r="F17" s="112">
        <f t="shared" si="1"/>
        <v>6</v>
      </c>
    </row>
    <row r="18" spans="1:6">
      <c r="A18" s="112">
        <f t="shared" si="0"/>
        <v>7</v>
      </c>
      <c r="B18" s="83"/>
      <c r="C18" s="463"/>
      <c r="D18" s="89"/>
      <c r="E18" s="93"/>
      <c r="F18" s="112">
        <f t="shared" si="1"/>
        <v>7</v>
      </c>
    </row>
    <row r="19" spans="1:6">
      <c r="A19" s="112">
        <f t="shared" si="0"/>
        <v>8</v>
      </c>
      <c r="B19" s="11" t="s">
        <v>363</v>
      </c>
      <c r="C19" s="463"/>
      <c r="D19" s="89"/>
      <c r="E19" s="93"/>
      <c r="F19" s="112">
        <f t="shared" si="1"/>
        <v>8</v>
      </c>
    </row>
    <row r="20" spans="1:6">
      <c r="A20" s="112">
        <f t="shared" si="0"/>
        <v>9</v>
      </c>
      <c r="B20" s="8" t="s">
        <v>364</v>
      </c>
      <c r="C20" s="464">
        <v>2812.8896153846149</v>
      </c>
      <c r="D20" s="85"/>
      <c r="E20" s="86" t="s">
        <v>616</v>
      </c>
      <c r="F20" s="112">
        <f t="shared" si="1"/>
        <v>9</v>
      </c>
    </row>
    <row r="21" spans="1:6">
      <c r="A21" s="112">
        <f t="shared" si="0"/>
        <v>10</v>
      </c>
      <c r="B21" s="8" t="s">
        <v>365</v>
      </c>
      <c r="C21" s="465">
        <v>0</v>
      </c>
      <c r="D21" s="85"/>
      <c r="E21" s="86" t="s">
        <v>159</v>
      </c>
      <c r="F21" s="112">
        <f t="shared" si="1"/>
        <v>10</v>
      </c>
    </row>
    <row r="22" spans="1:6">
      <c r="A22" s="112">
        <f t="shared" si="0"/>
        <v>11</v>
      </c>
      <c r="B22" s="8" t="s">
        <v>366</v>
      </c>
      <c r="C22" s="608">
        <f>C20+C21</f>
        <v>2812.8896153846149</v>
      </c>
      <c r="D22" s="322"/>
      <c r="E22" s="86" t="s">
        <v>617</v>
      </c>
      <c r="F22" s="112">
        <f t="shared" si="1"/>
        <v>11</v>
      </c>
    </row>
    <row r="23" spans="1:6">
      <c r="A23" s="112">
        <f t="shared" si="0"/>
        <v>12</v>
      </c>
      <c r="B23" s="8"/>
      <c r="C23" s="466"/>
      <c r="D23" s="84"/>
      <c r="E23" s="93"/>
      <c r="F23" s="112">
        <f t="shared" si="1"/>
        <v>12</v>
      </c>
    </row>
    <row r="24" spans="1:6">
      <c r="A24" s="112">
        <f t="shared" si="0"/>
        <v>13</v>
      </c>
      <c r="B24" s="11" t="s">
        <v>367</v>
      </c>
      <c r="C24" s="463"/>
      <c r="D24" s="89"/>
      <c r="E24" s="93"/>
      <c r="F24" s="112">
        <f t="shared" si="1"/>
        <v>13</v>
      </c>
    </row>
    <row r="25" spans="1:6">
      <c r="A25" s="112">
        <f t="shared" si="0"/>
        <v>14</v>
      </c>
      <c r="B25" s="83" t="s">
        <v>368</v>
      </c>
      <c r="C25" s="890">
        <v>-603364.52150000003</v>
      </c>
      <c r="D25" s="671" t="s">
        <v>460</v>
      </c>
      <c r="E25" s="86" t="s">
        <v>730</v>
      </c>
      <c r="F25" s="112">
        <f t="shared" si="1"/>
        <v>14</v>
      </c>
    </row>
    <row r="26" spans="1:6">
      <c r="A26" s="112">
        <f t="shared" si="0"/>
        <v>15</v>
      </c>
      <c r="B26" s="83" t="s">
        <v>369</v>
      </c>
      <c r="C26" s="468">
        <v>0</v>
      </c>
      <c r="D26" s="85"/>
      <c r="E26" s="86" t="s">
        <v>618</v>
      </c>
      <c r="F26" s="112">
        <f t="shared" si="1"/>
        <v>15</v>
      </c>
    </row>
    <row r="27" spans="1:6">
      <c r="A27" s="112">
        <f t="shared" si="0"/>
        <v>16</v>
      </c>
      <c r="B27" s="8" t="s">
        <v>370</v>
      </c>
      <c r="C27" s="611">
        <f>SUM(C25:C26)</f>
        <v>-603364.52150000003</v>
      </c>
      <c r="D27" s="671" t="s">
        <v>460</v>
      </c>
      <c r="E27" s="86" t="s">
        <v>619</v>
      </c>
      <c r="F27" s="112">
        <f t="shared" si="1"/>
        <v>16</v>
      </c>
    </row>
    <row r="28" spans="1:6">
      <c r="A28" s="112">
        <f t="shared" si="0"/>
        <v>17</v>
      </c>
      <c r="B28" s="82"/>
      <c r="C28" s="469"/>
      <c r="D28" s="90"/>
      <c r="E28" s="93"/>
      <c r="F28" s="112">
        <f t="shared" si="1"/>
        <v>17</v>
      </c>
    </row>
    <row r="29" spans="1:6">
      <c r="A29" s="112">
        <f t="shared" si="0"/>
        <v>18</v>
      </c>
      <c r="B29" s="11" t="s">
        <v>371</v>
      </c>
      <c r="C29" s="469"/>
      <c r="D29" s="90"/>
      <c r="E29" s="93"/>
      <c r="F29" s="112">
        <f t="shared" si="1"/>
        <v>18</v>
      </c>
    </row>
    <row r="30" spans="1:6">
      <c r="A30" s="112">
        <f t="shared" si="0"/>
        <v>19</v>
      </c>
      <c r="B30" s="8" t="s">
        <v>372</v>
      </c>
      <c r="C30" s="819">
        <v>46125.610034466292</v>
      </c>
      <c r="D30" s="671" t="s">
        <v>460</v>
      </c>
      <c r="E30" s="86" t="s">
        <v>708</v>
      </c>
      <c r="F30" s="112">
        <f t="shared" si="1"/>
        <v>19</v>
      </c>
    </row>
    <row r="31" spans="1:6">
      <c r="A31" s="112">
        <f t="shared" si="0"/>
        <v>20</v>
      </c>
      <c r="B31" s="8" t="s">
        <v>373</v>
      </c>
      <c r="C31" s="816">
        <v>17171.110417166059</v>
      </c>
      <c r="D31" s="671" t="s">
        <v>460</v>
      </c>
      <c r="E31" s="86" t="s">
        <v>709</v>
      </c>
      <c r="F31" s="112">
        <f t="shared" si="1"/>
        <v>20</v>
      </c>
    </row>
    <row r="32" spans="1:6">
      <c r="A32" s="112">
        <f t="shared" si="0"/>
        <v>21</v>
      </c>
      <c r="B32" s="8" t="s">
        <v>374</v>
      </c>
      <c r="C32" s="820">
        <v>8372.5709093687365</v>
      </c>
      <c r="D32" s="671" t="s">
        <v>460</v>
      </c>
      <c r="E32" s="86" t="s">
        <v>710</v>
      </c>
      <c r="F32" s="112">
        <f t="shared" si="1"/>
        <v>21</v>
      </c>
    </row>
    <row r="33" spans="1:6">
      <c r="A33" s="112">
        <f t="shared" si="0"/>
        <v>22</v>
      </c>
      <c r="B33" s="8" t="s">
        <v>375</v>
      </c>
      <c r="C33" s="611">
        <f>SUM(C30:C32)</f>
        <v>71669.291361001087</v>
      </c>
      <c r="D33" s="671" t="s">
        <v>460</v>
      </c>
      <c r="E33" s="86" t="s">
        <v>620</v>
      </c>
      <c r="F33" s="112">
        <f t="shared" si="1"/>
        <v>22</v>
      </c>
    </row>
    <row r="34" spans="1:6">
      <c r="A34" s="112">
        <f t="shared" si="0"/>
        <v>23</v>
      </c>
      <c r="B34" s="70"/>
      <c r="C34" s="470"/>
      <c r="D34" s="91"/>
      <c r="E34" s="93"/>
      <c r="F34" s="112">
        <f t="shared" si="1"/>
        <v>23</v>
      </c>
    </row>
    <row r="35" spans="1:6">
      <c r="A35" s="112">
        <f t="shared" si="0"/>
        <v>24</v>
      </c>
      <c r="B35" s="8" t="s">
        <v>376</v>
      </c>
      <c r="C35" s="609">
        <v>0</v>
      </c>
      <c r="D35" s="85"/>
      <c r="E35" s="86" t="s">
        <v>159</v>
      </c>
      <c r="F35" s="112">
        <f t="shared" si="1"/>
        <v>24</v>
      </c>
    </row>
    <row r="36" spans="1:6">
      <c r="A36" s="112">
        <f t="shared" si="0"/>
        <v>25</v>
      </c>
      <c r="B36" s="8"/>
      <c r="C36" s="470"/>
      <c r="D36" s="91"/>
      <c r="E36" s="93"/>
      <c r="F36" s="112">
        <f t="shared" si="1"/>
        <v>25</v>
      </c>
    </row>
    <row r="37" spans="1:6" ht="16" thickBot="1">
      <c r="A37" s="112">
        <f t="shared" si="0"/>
        <v>26</v>
      </c>
      <c r="B37" s="8" t="s">
        <v>377</v>
      </c>
      <c r="C37" s="821">
        <f>C17+C22+C27+C33+C35</f>
        <v>3771049.4535329193</v>
      </c>
      <c r="D37" s="671" t="s">
        <v>460</v>
      </c>
      <c r="E37" s="86" t="s">
        <v>621</v>
      </c>
      <c r="F37" s="112">
        <f t="shared" si="1"/>
        <v>26</v>
      </c>
    </row>
    <row r="38" spans="1:6" ht="16" thickTop="1">
      <c r="A38" s="112">
        <f t="shared" si="0"/>
        <v>27</v>
      </c>
      <c r="B38" s="70"/>
      <c r="C38" s="471"/>
      <c r="D38" s="92"/>
      <c r="E38" s="93"/>
      <c r="F38" s="112">
        <f t="shared" si="1"/>
        <v>27</v>
      </c>
    </row>
    <row r="39" spans="1:6" ht="18.5">
      <c r="A39" s="112">
        <f t="shared" si="0"/>
        <v>28</v>
      </c>
      <c r="B39" s="11" t="s">
        <v>378</v>
      </c>
      <c r="C39" s="471"/>
      <c r="D39" s="92"/>
      <c r="E39" s="93"/>
      <c r="F39" s="112">
        <f t="shared" si="1"/>
        <v>28</v>
      </c>
    </row>
    <row r="40" spans="1:6">
      <c r="A40" s="112">
        <f t="shared" si="0"/>
        <v>29</v>
      </c>
      <c r="B40" s="8" t="s">
        <v>379</v>
      </c>
      <c r="C40" s="467">
        <f>C90</f>
        <v>0</v>
      </c>
      <c r="D40" s="314"/>
      <c r="E40" s="86" t="s">
        <v>485</v>
      </c>
      <c r="F40" s="112">
        <f t="shared" si="1"/>
        <v>29</v>
      </c>
    </row>
    <row r="41" spans="1:6">
      <c r="A41" s="112">
        <f t="shared" si="0"/>
        <v>30</v>
      </c>
      <c r="B41" s="8" t="s">
        <v>380</v>
      </c>
      <c r="C41" s="472">
        <v>0</v>
      </c>
      <c r="D41" s="85"/>
      <c r="E41" s="86" t="s">
        <v>622</v>
      </c>
      <c r="F41" s="112">
        <f t="shared" si="1"/>
        <v>30</v>
      </c>
    </row>
    <row r="42" spans="1:6">
      <c r="A42" s="112">
        <f t="shared" si="0"/>
        <v>31</v>
      </c>
      <c r="B42" s="83" t="s">
        <v>381</v>
      </c>
      <c r="C42" s="611">
        <f>C40+C41</f>
        <v>0</v>
      </c>
      <c r="D42" s="92"/>
      <c r="E42" s="86" t="s">
        <v>623</v>
      </c>
      <c r="F42" s="112">
        <f t="shared" si="1"/>
        <v>31</v>
      </c>
    </row>
    <row r="43" spans="1:6">
      <c r="A43" s="112">
        <f t="shared" si="0"/>
        <v>32</v>
      </c>
      <c r="B43" s="70"/>
      <c r="C43" s="471"/>
      <c r="D43" s="92"/>
      <c r="E43" s="93"/>
      <c r="F43" s="112">
        <f t="shared" si="1"/>
        <v>32</v>
      </c>
    </row>
    <row r="44" spans="1:6" ht="18.5">
      <c r="A44" s="112">
        <f t="shared" si="0"/>
        <v>33</v>
      </c>
      <c r="B44" s="11" t="s">
        <v>382</v>
      </c>
      <c r="C44" s="471"/>
      <c r="D44" s="92"/>
      <c r="E44" s="93"/>
      <c r="F44" s="112">
        <f t="shared" si="1"/>
        <v>33</v>
      </c>
    </row>
    <row r="45" spans="1:6">
      <c r="A45" s="112">
        <f t="shared" si="0"/>
        <v>34</v>
      </c>
      <c r="B45" s="8" t="s">
        <v>383</v>
      </c>
      <c r="C45" s="473">
        <v>0</v>
      </c>
      <c r="D45" s="85"/>
      <c r="E45" s="86" t="s">
        <v>159</v>
      </c>
      <c r="F45" s="112">
        <f t="shared" si="1"/>
        <v>34</v>
      </c>
    </row>
    <row r="46" spans="1:6">
      <c r="A46" s="112">
        <f t="shared" si="0"/>
        <v>35</v>
      </c>
      <c r="B46" s="83" t="s">
        <v>384</v>
      </c>
      <c r="C46" s="612">
        <v>0</v>
      </c>
      <c r="D46" s="85"/>
      <c r="E46" s="86" t="s">
        <v>624</v>
      </c>
      <c r="F46" s="112">
        <f t="shared" si="1"/>
        <v>35</v>
      </c>
    </row>
    <row r="47" spans="1:6">
      <c r="A47" s="112">
        <f t="shared" si="0"/>
        <v>36</v>
      </c>
      <c r="B47" s="83" t="s">
        <v>385</v>
      </c>
      <c r="C47" s="611">
        <f>C45+C46</f>
        <v>0</v>
      </c>
      <c r="D47" s="92"/>
      <c r="E47" s="86" t="s">
        <v>553</v>
      </c>
      <c r="F47" s="112">
        <f t="shared" si="1"/>
        <v>36</v>
      </c>
    </row>
    <row r="48" spans="1:6">
      <c r="A48" s="112">
        <f t="shared" si="0"/>
        <v>37</v>
      </c>
      <c r="B48" s="70"/>
      <c r="C48" s="471"/>
      <c r="D48" s="92"/>
      <c r="E48" s="93"/>
      <c r="F48" s="112">
        <f t="shared" si="1"/>
        <v>37</v>
      </c>
    </row>
    <row r="49" spans="1:6" ht="19" thickBot="1">
      <c r="A49" s="112">
        <f t="shared" si="0"/>
        <v>38</v>
      </c>
      <c r="B49" s="11" t="s">
        <v>386</v>
      </c>
      <c r="C49" s="613">
        <v>0</v>
      </c>
      <c r="D49" s="85"/>
      <c r="E49" s="86" t="s">
        <v>159</v>
      </c>
      <c r="F49" s="112">
        <f t="shared" si="1"/>
        <v>38</v>
      </c>
    </row>
    <row r="50" spans="1:6" ht="16" thickTop="1">
      <c r="A50" s="112"/>
      <c r="B50" s="70"/>
      <c r="C50" s="92"/>
      <c r="D50" s="92"/>
      <c r="E50" s="93"/>
      <c r="F50" s="112"/>
    </row>
    <row r="51" spans="1:6">
      <c r="A51" s="112"/>
      <c r="B51" s="70"/>
      <c r="C51" s="92"/>
      <c r="D51" s="92"/>
      <c r="E51" s="93"/>
      <c r="F51" s="112"/>
    </row>
    <row r="52" spans="1:6">
      <c r="A52" s="671" t="s">
        <v>460</v>
      </c>
      <c r="B52" s="111" t="str">
        <f>'Pg12 As Filed Stmt AV FERC Adj'!B116</f>
        <v>Items in bold have changed due to various FERC Audit adj. compared to Appendix X Cycle 7 filing per ER18-1690.</v>
      </c>
      <c r="C52" s="92"/>
      <c r="D52" s="92"/>
      <c r="E52" s="93"/>
      <c r="F52" s="112"/>
    </row>
    <row r="53" spans="1:6" ht="18">
      <c r="A53" s="347">
        <v>1</v>
      </c>
      <c r="B53" s="204" t="s">
        <v>387</v>
      </c>
      <c r="C53" s="92"/>
      <c r="D53" s="92"/>
      <c r="E53" s="93"/>
      <c r="F53" s="112"/>
    </row>
    <row r="54" spans="1:6" ht="18">
      <c r="A54" s="347"/>
      <c r="B54" s="83" t="s">
        <v>388</v>
      </c>
      <c r="C54" s="92"/>
      <c r="D54" s="92"/>
      <c r="E54" s="93"/>
      <c r="F54" s="112"/>
    </row>
    <row r="55" spans="1:6">
      <c r="A55" s="112"/>
      <c r="B55" s="70"/>
      <c r="C55" s="92"/>
      <c r="D55" s="92"/>
      <c r="E55" s="93"/>
      <c r="F55" s="112"/>
    </row>
    <row r="56" spans="1:6">
      <c r="A56" s="112"/>
      <c r="B56" s="82"/>
      <c r="C56" s="92"/>
      <c r="D56" s="92"/>
      <c r="E56" s="93"/>
      <c r="F56" s="112"/>
    </row>
    <row r="57" spans="1:6">
      <c r="A57" s="112"/>
      <c r="B57" s="1013" t="s">
        <v>57</v>
      </c>
      <c r="C57" s="1041"/>
      <c r="D57" s="1041"/>
      <c r="E57" s="1041"/>
      <c r="F57" s="112"/>
    </row>
    <row r="58" spans="1:6">
      <c r="A58" s="112"/>
      <c r="B58" s="1013" t="s">
        <v>357</v>
      </c>
      <c r="C58" s="1041"/>
      <c r="D58" s="1041"/>
      <c r="E58" s="1041"/>
      <c r="F58" s="112"/>
    </row>
    <row r="59" spans="1:6">
      <c r="A59" s="112"/>
      <c r="B59" s="1038" t="str">
        <f>B5</f>
        <v>Base Period &amp; True-Up Period 12 - Months Ending December 31, 2017</v>
      </c>
      <c r="C59" s="1039"/>
      <c r="D59" s="1039"/>
      <c r="E59" s="1039"/>
      <c r="F59" s="112"/>
    </row>
    <row r="60" spans="1:6">
      <c r="A60" s="112"/>
      <c r="B60" s="1040" t="s">
        <v>1</v>
      </c>
      <c r="C60" s="1041"/>
      <c r="D60" s="1041"/>
      <c r="E60" s="1041"/>
      <c r="F60" s="112"/>
    </row>
    <row r="61" spans="1:6">
      <c r="A61" s="112"/>
      <c r="B61" s="506"/>
      <c r="C61" s="82"/>
      <c r="D61" s="82"/>
      <c r="E61" s="82"/>
      <c r="F61" s="112"/>
    </row>
    <row r="62" spans="1:6">
      <c r="A62" s="112" t="s">
        <v>2</v>
      </c>
      <c r="B62" s="82"/>
      <c r="C62" s="85"/>
      <c r="D62" s="85"/>
      <c r="E62" s="93"/>
      <c r="F62" s="112" t="s">
        <v>2</v>
      </c>
    </row>
    <row r="63" spans="1:6">
      <c r="A63" s="112" t="s">
        <v>3</v>
      </c>
      <c r="B63" s="82" t="s">
        <v>6</v>
      </c>
      <c r="C63" s="604" t="s">
        <v>33</v>
      </c>
      <c r="D63" s="604"/>
      <c r="E63" s="605" t="s">
        <v>5</v>
      </c>
      <c r="F63" s="112" t="s">
        <v>3</v>
      </c>
    </row>
    <row r="64" spans="1:6">
      <c r="A64" s="112"/>
      <c r="B64" s="11" t="s">
        <v>389</v>
      </c>
      <c r="C64" s="85"/>
      <c r="D64" s="85"/>
      <c r="E64" s="93"/>
      <c r="F64" s="112"/>
    </row>
    <row r="65" spans="1:8">
      <c r="A65" s="112"/>
      <c r="B65" s="11"/>
      <c r="C65" s="85"/>
      <c r="D65" s="85"/>
      <c r="E65" s="93"/>
      <c r="F65" s="112"/>
    </row>
    <row r="66" spans="1:8">
      <c r="A66" s="112">
        <v>1</v>
      </c>
      <c r="B66" s="11" t="s">
        <v>390</v>
      </c>
      <c r="C66" s="85"/>
      <c r="D66" s="85"/>
      <c r="E66" s="93"/>
      <c r="F66" s="112">
        <f>A66</f>
        <v>1</v>
      </c>
    </row>
    <row r="67" spans="1:8">
      <c r="A67" s="112">
        <f>A66+1</f>
        <v>2</v>
      </c>
      <c r="B67" s="8" t="s">
        <v>360</v>
      </c>
      <c r="C67" s="822">
        <v>5249985.7493453845</v>
      </c>
      <c r="D67" s="671" t="s">
        <v>460</v>
      </c>
      <c r="E67" s="86" t="s">
        <v>731</v>
      </c>
      <c r="F67" s="112">
        <f>F66+1</f>
        <v>2</v>
      </c>
      <c r="G67" s="107"/>
      <c r="H67" s="108"/>
    </row>
    <row r="68" spans="1:8">
      <c r="A68" s="112">
        <f t="shared" ref="A68:A90" si="2">A67+1</f>
        <v>3</v>
      </c>
      <c r="B68" s="8" t="s">
        <v>391</v>
      </c>
      <c r="C68" s="475">
        <v>16872.536416996682</v>
      </c>
      <c r="D68" s="671"/>
      <c r="E68" s="86" t="s">
        <v>732</v>
      </c>
      <c r="F68" s="112">
        <f t="shared" ref="F68:F90" si="3">F67+1</f>
        <v>3</v>
      </c>
      <c r="G68" s="107"/>
      <c r="H68" s="108"/>
    </row>
    <row r="69" spans="1:8">
      <c r="A69" s="112">
        <f t="shared" si="2"/>
        <v>4</v>
      </c>
      <c r="B69" s="8" t="s">
        <v>153</v>
      </c>
      <c r="C69" s="823">
        <v>37219.570635083968</v>
      </c>
      <c r="D69" s="671" t="s">
        <v>460</v>
      </c>
      <c r="E69" s="86" t="s">
        <v>733</v>
      </c>
      <c r="F69" s="112">
        <f t="shared" si="3"/>
        <v>4</v>
      </c>
      <c r="G69" s="107"/>
      <c r="H69" s="109"/>
    </row>
    <row r="70" spans="1:8">
      <c r="A70" s="112">
        <f t="shared" si="2"/>
        <v>5</v>
      </c>
      <c r="B70" s="8" t="s">
        <v>361</v>
      </c>
      <c r="C70" s="824">
        <v>81579.657641467376</v>
      </c>
      <c r="D70" s="671" t="s">
        <v>460</v>
      </c>
      <c r="E70" s="86" t="s">
        <v>734</v>
      </c>
      <c r="F70" s="112">
        <f t="shared" si="3"/>
        <v>5</v>
      </c>
      <c r="G70" s="108"/>
      <c r="H70" s="108"/>
    </row>
    <row r="71" spans="1:8">
      <c r="A71" s="112">
        <f t="shared" si="2"/>
        <v>6</v>
      </c>
      <c r="B71" s="8" t="s">
        <v>392</v>
      </c>
      <c r="C71" s="611">
        <f>SUM(C67:C70)</f>
        <v>5385657.5140389325</v>
      </c>
      <c r="D71" s="671" t="s">
        <v>460</v>
      </c>
      <c r="E71" s="86" t="s">
        <v>615</v>
      </c>
      <c r="F71" s="112">
        <f t="shared" si="3"/>
        <v>6</v>
      </c>
      <c r="G71" s="107"/>
      <c r="H71" s="108"/>
    </row>
    <row r="72" spans="1:8">
      <c r="A72" s="112">
        <f t="shared" si="2"/>
        <v>7</v>
      </c>
      <c r="B72" s="83"/>
      <c r="C72" s="476"/>
      <c r="D72" s="85"/>
      <c r="E72" s="93"/>
      <c r="F72" s="112">
        <f t="shared" si="3"/>
        <v>7</v>
      </c>
      <c r="G72" s="108"/>
      <c r="H72" s="108"/>
    </row>
    <row r="73" spans="1:8">
      <c r="A73" s="112">
        <f t="shared" si="2"/>
        <v>8</v>
      </c>
      <c r="B73" s="10" t="s">
        <v>393</v>
      </c>
      <c r="C73" s="476"/>
      <c r="D73" s="85"/>
      <c r="E73" s="93"/>
      <c r="F73" s="112">
        <f t="shared" si="3"/>
        <v>8</v>
      </c>
      <c r="G73" s="108"/>
      <c r="H73" s="108"/>
    </row>
    <row r="74" spans="1:8">
      <c r="A74" s="112">
        <f t="shared" si="2"/>
        <v>9</v>
      </c>
      <c r="B74" s="83" t="s">
        <v>394</v>
      </c>
      <c r="C74" s="822">
        <v>1019334.3459073078</v>
      </c>
      <c r="D74" s="671" t="s">
        <v>460</v>
      </c>
      <c r="E74" s="86" t="s">
        <v>735</v>
      </c>
      <c r="F74" s="112">
        <f t="shared" si="3"/>
        <v>9</v>
      </c>
      <c r="G74" s="108"/>
      <c r="H74" s="108"/>
    </row>
    <row r="75" spans="1:8">
      <c r="A75" s="112">
        <f t="shared" si="2"/>
        <v>10</v>
      </c>
      <c r="B75" s="83" t="s">
        <v>156</v>
      </c>
      <c r="C75" s="475">
        <v>9788.9138445659228</v>
      </c>
      <c r="D75" s="671"/>
      <c r="E75" s="86" t="s">
        <v>736</v>
      </c>
      <c r="F75" s="112">
        <f t="shared" si="3"/>
        <v>10</v>
      </c>
      <c r="G75" s="108"/>
      <c r="H75" s="108"/>
    </row>
    <row r="76" spans="1:8">
      <c r="A76" s="112">
        <f t="shared" si="2"/>
        <v>11</v>
      </c>
      <c r="B76" s="83" t="s">
        <v>395</v>
      </c>
      <c r="C76" s="823">
        <v>14981.526308691231</v>
      </c>
      <c r="D76" s="671" t="s">
        <v>460</v>
      </c>
      <c r="E76" s="86" t="s">
        <v>737</v>
      </c>
      <c r="F76" s="112">
        <f t="shared" si="3"/>
        <v>11</v>
      </c>
      <c r="G76" s="108"/>
      <c r="H76" s="108"/>
    </row>
    <row r="77" spans="1:8">
      <c r="A77" s="112">
        <f t="shared" si="2"/>
        <v>12</v>
      </c>
      <c r="B77" s="83" t="s">
        <v>396</v>
      </c>
      <c r="C77" s="824">
        <v>41620.933921834228</v>
      </c>
      <c r="D77" s="671" t="s">
        <v>460</v>
      </c>
      <c r="E77" s="86" t="s">
        <v>738</v>
      </c>
      <c r="F77" s="112">
        <f t="shared" si="3"/>
        <v>12</v>
      </c>
      <c r="G77" s="108"/>
      <c r="H77" s="108"/>
    </row>
    <row r="78" spans="1:8">
      <c r="A78" s="112">
        <f t="shared" si="2"/>
        <v>13</v>
      </c>
      <c r="B78" s="323" t="s">
        <v>157</v>
      </c>
      <c r="C78" s="611">
        <f>SUM(C74:C77)</f>
        <v>1085725.7199823994</v>
      </c>
      <c r="D78" s="671" t="s">
        <v>460</v>
      </c>
      <c r="E78" s="86" t="s">
        <v>625</v>
      </c>
      <c r="F78" s="112">
        <f t="shared" si="3"/>
        <v>13</v>
      </c>
      <c r="G78" s="108"/>
      <c r="H78" s="108"/>
    </row>
    <row r="79" spans="1:8">
      <c r="A79" s="112">
        <f t="shared" si="2"/>
        <v>14</v>
      </c>
      <c r="B79" s="323"/>
      <c r="C79" s="469"/>
      <c r="D79" s="90"/>
      <c r="E79" s="93"/>
      <c r="F79" s="112">
        <f t="shared" si="3"/>
        <v>14</v>
      </c>
      <c r="G79" s="108"/>
      <c r="H79" s="108"/>
    </row>
    <row r="80" spans="1:8">
      <c r="A80" s="112">
        <f t="shared" si="2"/>
        <v>15</v>
      </c>
      <c r="B80" s="11" t="s">
        <v>359</v>
      </c>
      <c r="C80" s="469"/>
      <c r="D80" s="90"/>
      <c r="E80" s="93"/>
      <c r="F80" s="112">
        <f t="shared" si="3"/>
        <v>15</v>
      </c>
      <c r="G80" s="108"/>
      <c r="H80" s="108"/>
    </row>
    <row r="81" spans="1:8">
      <c r="A81" s="112">
        <f t="shared" si="2"/>
        <v>16</v>
      </c>
      <c r="B81" s="8" t="s">
        <v>360</v>
      </c>
      <c r="C81" s="825">
        <f>C67-C74</f>
        <v>4230651.4034380764</v>
      </c>
      <c r="D81" s="671" t="s">
        <v>460</v>
      </c>
      <c r="E81" s="86" t="s">
        <v>626</v>
      </c>
      <c r="F81" s="112">
        <f t="shared" si="3"/>
        <v>16</v>
      </c>
      <c r="G81" s="108"/>
      <c r="H81" s="108"/>
    </row>
    <row r="82" spans="1:8">
      <c r="A82" s="112">
        <f t="shared" si="2"/>
        <v>17</v>
      </c>
      <c r="B82" s="8" t="s">
        <v>152</v>
      </c>
      <c r="C82" s="478">
        <f>C68-C75</f>
        <v>7083.6225724307587</v>
      </c>
      <c r="D82" s="671"/>
      <c r="E82" s="86" t="s">
        <v>627</v>
      </c>
      <c r="F82" s="112">
        <f t="shared" si="3"/>
        <v>17</v>
      </c>
      <c r="G82" s="108"/>
      <c r="H82" s="108"/>
    </row>
    <row r="83" spans="1:8">
      <c r="A83" s="112">
        <f t="shared" si="2"/>
        <v>18</v>
      </c>
      <c r="B83" s="8" t="s">
        <v>153</v>
      </c>
      <c r="C83" s="469">
        <f>C69-C76</f>
        <v>22238.044326392737</v>
      </c>
      <c r="D83" s="671" t="s">
        <v>460</v>
      </c>
      <c r="E83" s="86" t="s">
        <v>628</v>
      </c>
      <c r="F83" s="112">
        <f t="shared" si="3"/>
        <v>18</v>
      </c>
    </row>
    <row r="84" spans="1:8">
      <c r="A84" s="112">
        <f t="shared" si="2"/>
        <v>19</v>
      </c>
      <c r="B84" s="8" t="s">
        <v>361</v>
      </c>
      <c r="C84" s="826">
        <f>C70-C77</f>
        <v>39958.723719633148</v>
      </c>
      <c r="D84" s="671" t="s">
        <v>460</v>
      </c>
      <c r="E84" s="86" t="s">
        <v>629</v>
      </c>
      <c r="F84" s="112">
        <f t="shared" si="3"/>
        <v>19</v>
      </c>
    </row>
    <row r="85" spans="1:8" ht="16" thickBot="1">
      <c r="A85" s="112">
        <f t="shared" si="2"/>
        <v>20</v>
      </c>
      <c r="B85" s="83" t="s">
        <v>362</v>
      </c>
      <c r="C85" s="827">
        <f>SUM(C81:C84)</f>
        <v>4299931.7940565329</v>
      </c>
      <c r="D85" s="671" t="s">
        <v>460</v>
      </c>
      <c r="E85" s="86" t="s">
        <v>630</v>
      </c>
      <c r="F85" s="112">
        <f t="shared" si="3"/>
        <v>20</v>
      </c>
    </row>
    <row r="86" spans="1:8" ht="16" thickTop="1">
      <c r="A86" s="112">
        <f t="shared" si="2"/>
        <v>21</v>
      </c>
      <c r="B86" s="83"/>
      <c r="C86" s="471"/>
      <c r="D86" s="92"/>
      <c r="E86" s="93"/>
      <c r="F86" s="112">
        <f t="shared" si="3"/>
        <v>21</v>
      </c>
    </row>
    <row r="87" spans="1:8" ht="18.5">
      <c r="A87" s="112">
        <f t="shared" si="2"/>
        <v>22</v>
      </c>
      <c r="B87" s="11" t="s">
        <v>397</v>
      </c>
      <c r="C87" s="471"/>
      <c r="D87" s="92"/>
      <c r="E87" s="93"/>
      <c r="F87" s="112">
        <f t="shared" si="3"/>
        <v>22</v>
      </c>
    </row>
    <row r="88" spans="1:8">
      <c r="A88" s="112">
        <f t="shared" si="2"/>
        <v>23</v>
      </c>
      <c r="B88" s="8" t="s">
        <v>398</v>
      </c>
      <c r="C88" s="467">
        <v>0</v>
      </c>
      <c r="D88" s="85"/>
      <c r="E88" s="86" t="s">
        <v>631</v>
      </c>
      <c r="F88" s="112">
        <f t="shared" si="3"/>
        <v>23</v>
      </c>
    </row>
    <row r="89" spans="1:8">
      <c r="A89" s="112">
        <f t="shared" si="2"/>
        <v>24</v>
      </c>
      <c r="B89" s="83" t="s">
        <v>399</v>
      </c>
      <c r="C89" s="612">
        <v>0</v>
      </c>
      <c r="D89" s="85"/>
      <c r="E89" s="86" t="s">
        <v>632</v>
      </c>
      <c r="F89" s="112">
        <f t="shared" si="3"/>
        <v>24</v>
      </c>
    </row>
    <row r="90" spans="1:8" ht="16" thickBot="1">
      <c r="A90" s="112">
        <f t="shared" si="2"/>
        <v>25</v>
      </c>
      <c r="B90" s="8" t="s">
        <v>400</v>
      </c>
      <c r="C90" s="610">
        <f>C88-C89</f>
        <v>0</v>
      </c>
      <c r="D90" s="92"/>
      <c r="E90" s="86" t="s">
        <v>633</v>
      </c>
      <c r="F90" s="112">
        <f t="shared" si="3"/>
        <v>25</v>
      </c>
    </row>
    <row r="91" spans="1:8" ht="16" thickTop="1">
      <c r="A91" s="112"/>
      <c r="B91" s="70"/>
      <c r="C91" s="92"/>
      <c r="D91" s="92"/>
      <c r="E91" s="93"/>
      <c r="F91" s="112"/>
    </row>
    <row r="92" spans="1:8">
      <c r="A92" s="112"/>
      <c r="B92" s="70"/>
      <c r="C92" s="92"/>
      <c r="D92" s="92"/>
      <c r="E92" s="93"/>
      <c r="F92" s="112"/>
    </row>
    <row r="93" spans="1:8">
      <c r="A93" s="671" t="s">
        <v>460</v>
      </c>
      <c r="B93" s="111" t="str">
        <f>B52</f>
        <v>Items in bold have changed due to various FERC Audit adj. compared to Appendix X Cycle 7 filing per ER18-1690.</v>
      </c>
      <c r="C93" s="92"/>
      <c r="D93" s="92"/>
      <c r="E93" s="93"/>
      <c r="F93" s="112"/>
    </row>
    <row r="94" spans="1:8" ht="18">
      <c r="A94" s="113">
        <v>1</v>
      </c>
      <c r="B94" s="204" t="s">
        <v>387</v>
      </c>
      <c r="C94" s="92"/>
      <c r="D94" s="92"/>
      <c r="E94" s="93"/>
      <c r="F94" s="112"/>
    </row>
    <row r="95" spans="1:8">
      <c r="A95" s="348"/>
      <c r="B95" s="83" t="s">
        <v>388</v>
      </c>
      <c r="C95" s="92"/>
      <c r="D95" s="92"/>
      <c r="E95" s="93"/>
      <c r="F95" s="112"/>
    </row>
    <row r="96" spans="1:8">
      <c r="A96" s="112"/>
      <c r="B96" s="82"/>
      <c r="C96" s="92"/>
      <c r="D96" s="92"/>
      <c r="E96" s="93"/>
      <c r="F96" s="112"/>
    </row>
  </sheetData>
  <mergeCells count="8">
    <mergeCell ref="B59:E59"/>
    <mergeCell ref="B60:E60"/>
    <mergeCell ref="B3:E3"/>
    <mergeCell ref="B4:E4"/>
    <mergeCell ref="B5:E5"/>
    <mergeCell ref="B6:E6"/>
    <mergeCell ref="B57:E57"/>
    <mergeCell ref="B58:E58"/>
  </mergeCells>
  <printOptions horizontalCentered="1"/>
  <pageMargins left="0.5" right="0.5" top="0.5" bottom="0.5" header="0.35" footer="0.25"/>
  <pageSetup scale="63" orientation="portrait" r:id="rId1"/>
  <headerFooter scaleWithDoc="0" alignWithMargins="0">
    <oddHeader>&amp;C&amp;"Times New Roman,Bold"&amp;7AS FILED AV-4 WITH FERC AUDIT ADJ INCL IN APPENDIX X CYCLE 12 (ER24-176)</oddHeader>
    <oddFooter>&amp;L&amp;F&amp;CPage 14.&amp;P&amp;R&amp;A</oddFooter>
  </headerFooter>
  <rowBreaks count="1" manualBreakCount="1">
    <brk id="5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2EC4-112B-4E1C-8C81-3541FB3EAB45}">
  <dimension ref="A1:L121"/>
  <sheetViews>
    <sheetView zoomScale="80" zoomScaleNormal="80" workbookViewId="0"/>
  </sheetViews>
  <sheetFormatPr defaultColWidth="9.08984375" defaultRowHeight="15.5"/>
  <cols>
    <col min="1" max="1" width="5.08984375" style="106" customWidth="1"/>
    <col min="2" max="2" width="12.6328125" style="116" customWidth="1"/>
    <col min="3" max="3" width="20" style="116" customWidth="1"/>
    <col min="4" max="8" width="21.6328125" style="116" customWidth="1"/>
    <col min="9" max="9" width="5.08984375" style="106" customWidth="1"/>
    <col min="10" max="10" width="13.6328125" style="116" customWidth="1"/>
    <col min="11" max="11" width="12.6328125" style="116" customWidth="1"/>
    <col min="12" max="16384" width="9.08984375" style="116"/>
  </cols>
  <sheetData>
    <row r="1" spans="1:9">
      <c r="D1" s="115"/>
    </row>
    <row r="2" spans="1:9">
      <c r="B2" s="1042" t="s">
        <v>0</v>
      </c>
      <c r="C2" s="1042"/>
      <c r="D2" s="1042"/>
      <c r="E2" s="1042"/>
      <c r="F2" s="1042"/>
      <c r="G2" s="1042"/>
      <c r="H2" s="1042"/>
      <c r="I2" s="275"/>
    </row>
    <row r="3" spans="1:9">
      <c r="B3" s="1042" t="s">
        <v>690</v>
      </c>
      <c r="C3" s="1042"/>
      <c r="D3" s="1042"/>
      <c r="E3" s="1042"/>
      <c r="F3" s="1042"/>
      <c r="G3" s="1042"/>
      <c r="H3" s="1042"/>
      <c r="I3" s="275"/>
    </row>
    <row r="4" spans="1:9">
      <c r="B4" s="1043" t="s">
        <v>788</v>
      </c>
      <c r="C4" s="1043"/>
      <c r="D4" s="1043"/>
      <c r="E4" s="1043"/>
      <c r="F4" s="1043"/>
      <c r="G4" s="1043"/>
      <c r="H4" s="1043"/>
      <c r="I4" s="275"/>
    </row>
    <row r="5" spans="1:9">
      <c r="B5" s="1043" t="s">
        <v>670</v>
      </c>
      <c r="C5" s="1043"/>
      <c r="D5" s="1043"/>
      <c r="E5" s="1043"/>
      <c r="F5" s="1043"/>
      <c r="G5" s="1043"/>
      <c r="H5" s="1043"/>
      <c r="I5" s="275"/>
    </row>
    <row r="6" spans="1:9">
      <c r="B6" s="1044" t="s">
        <v>1</v>
      </c>
      <c r="C6" s="1044"/>
      <c r="D6" s="1044"/>
      <c r="E6" s="1044"/>
      <c r="F6" s="1044"/>
      <c r="G6" s="1044"/>
      <c r="H6" s="1044"/>
      <c r="I6" s="275"/>
    </row>
    <row r="7" spans="1:9">
      <c r="A7" s="275"/>
      <c r="B7" s="275"/>
      <c r="C7" s="275"/>
      <c r="D7" s="275"/>
      <c r="E7" s="275"/>
      <c r="F7" s="275"/>
      <c r="G7" s="275"/>
      <c r="H7" s="275"/>
      <c r="I7" s="275"/>
    </row>
    <row r="8" spans="1:9">
      <c r="A8" s="132" t="s">
        <v>2</v>
      </c>
      <c r="B8" s="228"/>
      <c r="I8" s="132" t="s">
        <v>2</v>
      </c>
    </row>
    <row r="9" spans="1:9">
      <c r="A9" s="561" t="s">
        <v>3</v>
      </c>
      <c r="B9" s="228"/>
      <c r="I9" s="561" t="s">
        <v>3</v>
      </c>
    </row>
    <row r="10" spans="1:9">
      <c r="A10" s="132">
        <v>1</v>
      </c>
      <c r="C10" s="829" t="s">
        <v>634</v>
      </c>
      <c r="D10" s="829" t="s">
        <v>635</v>
      </c>
      <c r="E10" s="829" t="s">
        <v>636</v>
      </c>
      <c r="F10" s="829" t="s">
        <v>637</v>
      </c>
      <c r="G10" s="829" t="s">
        <v>638</v>
      </c>
      <c r="H10" s="829" t="s">
        <v>639</v>
      </c>
      <c r="I10" s="132">
        <v>1</v>
      </c>
    </row>
    <row r="11" spans="1:9">
      <c r="A11" s="132">
        <f t="shared" ref="A11:A74" si="0">A10+1</f>
        <v>2</v>
      </c>
      <c r="B11" s="119" t="s">
        <v>640</v>
      </c>
      <c r="C11" s="132"/>
      <c r="D11" s="214" t="s">
        <v>641</v>
      </c>
      <c r="E11" s="132"/>
      <c r="F11" s="132" t="s">
        <v>124</v>
      </c>
      <c r="G11" s="132" t="s">
        <v>146</v>
      </c>
      <c r="H11" s="214" t="s">
        <v>642</v>
      </c>
      <c r="I11" s="132">
        <f t="shared" ref="I11:I74" si="1">I10+1</f>
        <v>2</v>
      </c>
    </row>
    <row r="12" spans="1:9">
      <c r="A12" s="132">
        <f t="shared" si="0"/>
        <v>3</v>
      </c>
      <c r="C12" s="829"/>
      <c r="F12" s="505" t="s">
        <v>643</v>
      </c>
      <c r="H12" s="505" t="s">
        <v>643</v>
      </c>
      <c r="I12" s="132">
        <f t="shared" si="1"/>
        <v>3</v>
      </c>
    </row>
    <row r="13" spans="1:9">
      <c r="A13" s="132">
        <f t="shared" si="0"/>
        <v>4</v>
      </c>
      <c r="C13" s="829"/>
      <c r="D13" s="505" t="s">
        <v>644</v>
      </c>
      <c r="E13" s="505"/>
      <c r="F13" s="505" t="s">
        <v>645</v>
      </c>
      <c r="H13" s="505" t="s">
        <v>645</v>
      </c>
      <c r="I13" s="132">
        <f t="shared" si="1"/>
        <v>4</v>
      </c>
    </row>
    <row r="14" spans="1:9">
      <c r="A14" s="132">
        <f t="shared" si="0"/>
        <v>5</v>
      </c>
      <c r="C14" s="505"/>
      <c r="D14" s="505" t="s">
        <v>645</v>
      </c>
      <c r="E14" s="505" t="s">
        <v>644</v>
      </c>
      <c r="F14" s="505" t="s">
        <v>646</v>
      </c>
      <c r="H14" s="505" t="s">
        <v>646</v>
      </c>
      <c r="I14" s="132">
        <f t="shared" si="1"/>
        <v>5</v>
      </c>
    </row>
    <row r="15" spans="1:9">
      <c r="A15" s="132">
        <f t="shared" si="0"/>
        <v>6</v>
      </c>
      <c r="C15" s="505"/>
      <c r="D15" s="505" t="s">
        <v>646</v>
      </c>
      <c r="E15" s="505" t="s">
        <v>647</v>
      </c>
      <c r="F15" s="505" t="s">
        <v>648</v>
      </c>
      <c r="G15" s="505"/>
      <c r="H15" s="505" t="s">
        <v>648</v>
      </c>
      <c r="I15" s="132">
        <f t="shared" si="1"/>
        <v>6</v>
      </c>
    </row>
    <row r="16" spans="1:9" ht="18">
      <c r="A16" s="132">
        <f t="shared" si="0"/>
        <v>7</v>
      </c>
      <c r="B16" s="830" t="s">
        <v>155</v>
      </c>
      <c r="C16" s="830" t="s">
        <v>649</v>
      </c>
      <c r="D16" s="568" t="s">
        <v>648</v>
      </c>
      <c r="E16" s="568" t="s">
        <v>650</v>
      </c>
      <c r="F16" s="568" t="s">
        <v>651</v>
      </c>
      <c r="G16" s="831" t="s">
        <v>647</v>
      </c>
      <c r="H16" s="568" t="s">
        <v>652</v>
      </c>
      <c r="I16" s="132">
        <f t="shared" si="1"/>
        <v>7</v>
      </c>
    </row>
    <row r="17" spans="1:12">
      <c r="A17" s="132">
        <f t="shared" si="0"/>
        <v>8</v>
      </c>
      <c r="B17" s="832" t="s">
        <v>653</v>
      </c>
      <c r="C17" s="833">
        <v>2017</v>
      </c>
      <c r="D17" s="963">
        <f>'Pg2 App X C7 Comparison'!G31/12</f>
        <v>0.13200614204500502</v>
      </c>
      <c r="E17" s="834">
        <v>3.0000000000000001E-3</v>
      </c>
      <c r="F17" s="995">
        <f>+D17</f>
        <v>0.13200614204500502</v>
      </c>
      <c r="G17" s="996">
        <f>(D17/2)*E17</f>
        <v>1.9800921306750753E-4</v>
      </c>
      <c r="H17" s="996">
        <f t="shared" ref="H17:H80" si="2">F17+G17</f>
        <v>0.13220415125807253</v>
      </c>
      <c r="I17" s="132">
        <f t="shared" si="1"/>
        <v>8</v>
      </c>
    </row>
    <row r="18" spans="1:12">
      <c r="A18" s="132">
        <f t="shared" si="0"/>
        <v>9</v>
      </c>
      <c r="B18" s="832" t="s">
        <v>654</v>
      </c>
      <c r="C18" s="833">
        <f>C17</f>
        <v>2017</v>
      </c>
      <c r="D18" s="964">
        <f>D17</f>
        <v>0.13200614204500502</v>
      </c>
      <c r="E18" s="834">
        <v>2.7000000000000001E-3</v>
      </c>
      <c r="F18" s="997">
        <f t="shared" ref="F18:F29" si="3">H17+D18</f>
        <v>0.26421029330307755</v>
      </c>
      <c r="G18" s="998">
        <f>ROUND((H17+F18)/2*E18,0)</f>
        <v>0</v>
      </c>
      <c r="H18" s="998">
        <f t="shared" si="2"/>
        <v>0.26421029330307755</v>
      </c>
      <c r="I18" s="132">
        <f t="shared" si="1"/>
        <v>9</v>
      </c>
    </row>
    <row r="19" spans="1:12">
      <c r="A19" s="132">
        <f t="shared" si="0"/>
        <v>10</v>
      </c>
      <c r="B19" s="832" t="s">
        <v>655</v>
      </c>
      <c r="C19" s="833">
        <f t="shared" ref="C19:D28" si="4">C18</f>
        <v>2017</v>
      </c>
      <c r="D19" s="964">
        <f t="shared" si="4"/>
        <v>0.13200614204500502</v>
      </c>
      <c r="E19" s="834">
        <v>3.0000000000000001E-3</v>
      </c>
      <c r="F19" s="997">
        <f t="shared" si="3"/>
        <v>0.3962164353480826</v>
      </c>
      <c r="G19" s="998">
        <f t="shared" ref="G19:G82" si="5">(H18+F19)/2*E19</f>
        <v>9.9064009297674034E-4</v>
      </c>
      <c r="H19" s="998">
        <f t="shared" si="2"/>
        <v>0.39720707544105932</v>
      </c>
      <c r="I19" s="132">
        <f t="shared" si="1"/>
        <v>10</v>
      </c>
    </row>
    <row r="20" spans="1:12">
      <c r="A20" s="132">
        <f t="shared" si="0"/>
        <v>11</v>
      </c>
      <c r="B20" s="832" t="s">
        <v>656</v>
      </c>
      <c r="C20" s="833">
        <f t="shared" si="4"/>
        <v>2017</v>
      </c>
      <c r="D20" s="964">
        <f t="shared" si="4"/>
        <v>0.13200614204500502</v>
      </c>
      <c r="E20" s="834">
        <v>3.0000000000000001E-3</v>
      </c>
      <c r="F20" s="997">
        <f t="shared" si="3"/>
        <v>0.52921321748606431</v>
      </c>
      <c r="G20" s="998">
        <f t="shared" si="5"/>
        <v>1.3896304393906855E-3</v>
      </c>
      <c r="H20" s="998">
        <f t="shared" si="2"/>
        <v>0.53060284792545498</v>
      </c>
      <c r="I20" s="132">
        <f t="shared" si="1"/>
        <v>11</v>
      </c>
    </row>
    <row r="21" spans="1:12">
      <c r="A21" s="132">
        <f t="shared" si="0"/>
        <v>12</v>
      </c>
      <c r="B21" s="832" t="s">
        <v>657</v>
      </c>
      <c r="C21" s="833">
        <f t="shared" si="4"/>
        <v>2017</v>
      </c>
      <c r="D21" s="964">
        <f t="shared" si="4"/>
        <v>0.13200614204500502</v>
      </c>
      <c r="E21" s="834">
        <v>3.2000000000000002E-3</v>
      </c>
      <c r="F21" s="997">
        <f t="shared" si="3"/>
        <v>0.66260898997046003</v>
      </c>
      <c r="G21" s="998">
        <f t="shared" si="5"/>
        <v>1.9091389406334642E-3</v>
      </c>
      <c r="H21" s="998">
        <f t="shared" si="2"/>
        <v>0.66451812891109352</v>
      </c>
      <c r="I21" s="132">
        <f t="shared" si="1"/>
        <v>12</v>
      </c>
    </row>
    <row r="22" spans="1:12">
      <c r="A22" s="132">
        <f t="shared" si="0"/>
        <v>13</v>
      </c>
      <c r="B22" s="832" t="s">
        <v>658</v>
      </c>
      <c r="C22" s="833">
        <f t="shared" si="4"/>
        <v>2017</v>
      </c>
      <c r="D22" s="964">
        <f t="shared" si="4"/>
        <v>0.13200614204500502</v>
      </c>
      <c r="E22" s="834">
        <v>3.0000000000000001E-3</v>
      </c>
      <c r="F22" s="997">
        <f t="shared" si="3"/>
        <v>0.79652427095609857</v>
      </c>
      <c r="G22" s="998">
        <f t="shared" si="5"/>
        <v>2.1915635998007881E-3</v>
      </c>
      <c r="H22" s="998">
        <f t="shared" si="2"/>
        <v>0.79871583455589934</v>
      </c>
      <c r="I22" s="132">
        <f t="shared" si="1"/>
        <v>13</v>
      </c>
    </row>
    <row r="23" spans="1:12">
      <c r="A23" s="132">
        <f t="shared" si="0"/>
        <v>14</v>
      </c>
      <c r="B23" s="832" t="s">
        <v>659</v>
      </c>
      <c r="C23" s="833">
        <f t="shared" si="4"/>
        <v>2017</v>
      </c>
      <c r="D23" s="964">
        <f t="shared" si="4"/>
        <v>0.13200614204500502</v>
      </c>
      <c r="E23" s="834">
        <v>3.3999999999999998E-3</v>
      </c>
      <c r="F23" s="997">
        <f t="shared" si="3"/>
        <v>0.93072197660090439</v>
      </c>
      <c r="G23" s="998">
        <f t="shared" si="5"/>
        <v>2.9400442789665662E-3</v>
      </c>
      <c r="H23" s="998">
        <f t="shared" si="2"/>
        <v>0.93366202087987094</v>
      </c>
      <c r="I23" s="132">
        <f t="shared" si="1"/>
        <v>14</v>
      </c>
    </row>
    <row r="24" spans="1:12">
      <c r="A24" s="132">
        <f t="shared" si="0"/>
        <v>15</v>
      </c>
      <c r="B24" s="832" t="s">
        <v>660</v>
      </c>
      <c r="C24" s="833">
        <f t="shared" si="4"/>
        <v>2017</v>
      </c>
      <c r="D24" s="964">
        <f t="shared" si="4"/>
        <v>0.13200614204500502</v>
      </c>
      <c r="E24" s="834">
        <v>3.3999999999999998E-3</v>
      </c>
      <c r="F24" s="997">
        <f t="shared" si="3"/>
        <v>1.0656681629248759</v>
      </c>
      <c r="G24" s="998">
        <f t="shared" si="5"/>
        <v>3.3988613124680692E-3</v>
      </c>
      <c r="H24" s="998">
        <f t="shared" si="2"/>
        <v>1.0690670242373439</v>
      </c>
      <c r="I24" s="132">
        <f t="shared" si="1"/>
        <v>15</v>
      </c>
    </row>
    <row r="25" spans="1:12">
      <c r="A25" s="132">
        <f t="shared" si="0"/>
        <v>16</v>
      </c>
      <c r="B25" s="832" t="s">
        <v>661</v>
      </c>
      <c r="C25" s="833">
        <f t="shared" si="4"/>
        <v>2017</v>
      </c>
      <c r="D25" s="964">
        <f t="shared" si="4"/>
        <v>0.13200614204500502</v>
      </c>
      <c r="E25" s="834">
        <v>3.3E-3</v>
      </c>
      <c r="F25" s="997">
        <f t="shared" si="3"/>
        <v>1.2010731662823488</v>
      </c>
      <c r="G25" s="998">
        <f t="shared" si="5"/>
        <v>3.7457313143574936E-3</v>
      </c>
      <c r="H25" s="998">
        <f t="shared" si="2"/>
        <v>1.2048188975967062</v>
      </c>
      <c r="I25" s="132">
        <f t="shared" si="1"/>
        <v>16</v>
      </c>
    </row>
    <row r="26" spans="1:12">
      <c r="A26" s="132">
        <f t="shared" si="0"/>
        <v>17</v>
      </c>
      <c r="B26" s="832" t="s">
        <v>662</v>
      </c>
      <c r="C26" s="833">
        <f t="shared" si="4"/>
        <v>2017</v>
      </c>
      <c r="D26" s="964">
        <f t="shared" si="4"/>
        <v>0.13200614204500502</v>
      </c>
      <c r="E26" s="834">
        <v>3.5999999999999999E-3</v>
      </c>
      <c r="F26" s="997">
        <f t="shared" si="3"/>
        <v>1.3368250396417112</v>
      </c>
      <c r="G26" s="998">
        <f t="shared" si="5"/>
        <v>4.5749590870291512E-3</v>
      </c>
      <c r="H26" s="998">
        <f t="shared" si="2"/>
        <v>1.3413999987287404</v>
      </c>
      <c r="I26" s="132">
        <f t="shared" si="1"/>
        <v>17</v>
      </c>
    </row>
    <row r="27" spans="1:12">
      <c r="A27" s="132">
        <f t="shared" si="0"/>
        <v>18</v>
      </c>
      <c r="B27" s="832" t="s">
        <v>663</v>
      </c>
      <c r="C27" s="833">
        <f t="shared" si="4"/>
        <v>2017</v>
      </c>
      <c r="D27" s="964">
        <f t="shared" si="4"/>
        <v>0.13200614204500502</v>
      </c>
      <c r="E27" s="834">
        <v>3.5000000000000001E-3</v>
      </c>
      <c r="F27" s="997">
        <f t="shared" si="3"/>
        <v>1.4734061407737453</v>
      </c>
      <c r="G27" s="998">
        <f t="shared" si="5"/>
        <v>4.9259107441293505E-3</v>
      </c>
      <c r="H27" s="998">
        <f t="shared" si="2"/>
        <v>1.4783320515178746</v>
      </c>
      <c r="I27" s="132">
        <f t="shared" si="1"/>
        <v>18</v>
      </c>
    </row>
    <row r="28" spans="1:12">
      <c r="A28" s="132">
        <f t="shared" si="0"/>
        <v>19</v>
      </c>
      <c r="B28" s="836" t="s">
        <v>664</v>
      </c>
      <c r="C28" s="837">
        <f t="shared" si="4"/>
        <v>2017</v>
      </c>
      <c r="D28" s="965">
        <f>D27</f>
        <v>0.13200614204500502</v>
      </c>
      <c r="E28" s="838">
        <v>3.5999999999999999E-3</v>
      </c>
      <c r="F28" s="999">
        <f t="shared" si="3"/>
        <v>1.6103381935628795</v>
      </c>
      <c r="G28" s="1000">
        <f t="shared" si="5"/>
        <v>5.559606441145358E-3</v>
      </c>
      <c r="H28" s="1000">
        <f t="shared" si="2"/>
        <v>1.6158978000040249</v>
      </c>
      <c r="I28" s="132">
        <f t="shared" si="1"/>
        <v>19</v>
      </c>
    </row>
    <row r="29" spans="1:12">
      <c r="A29" s="132">
        <f t="shared" si="0"/>
        <v>20</v>
      </c>
      <c r="B29" s="832" t="s">
        <v>653</v>
      </c>
      <c r="C29" s="839">
        <v>2018</v>
      </c>
      <c r="D29" s="840"/>
      <c r="E29" s="841">
        <v>3.5999999999999999E-3</v>
      </c>
      <c r="F29" s="997">
        <f t="shared" si="3"/>
        <v>1.6158978000040249</v>
      </c>
      <c r="G29" s="998">
        <f t="shared" si="5"/>
        <v>5.8172320800144893E-3</v>
      </c>
      <c r="H29" s="998">
        <f t="shared" si="2"/>
        <v>1.6217150320840394</v>
      </c>
      <c r="I29" s="132">
        <f t="shared" si="1"/>
        <v>20</v>
      </c>
      <c r="J29" s="842"/>
    </row>
    <row r="30" spans="1:12">
      <c r="A30" s="132">
        <f t="shared" si="0"/>
        <v>21</v>
      </c>
      <c r="B30" s="832" t="s">
        <v>654</v>
      </c>
      <c r="C30" s="839">
        <f>C29</f>
        <v>2018</v>
      </c>
      <c r="D30" s="843"/>
      <c r="E30" s="834">
        <v>3.3E-3</v>
      </c>
      <c r="F30" s="997">
        <f>H29+D30</f>
        <v>1.6217150320840394</v>
      </c>
      <c r="G30" s="998">
        <f t="shared" si="5"/>
        <v>5.35165960587733E-3</v>
      </c>
      <c r="H30" s="998">
        <f t="shared" si="2"/>
        <v>1.6270666916899168</v>
      </c>
      <c r="I30" s="132">
        <f t="shared" si="1"/>
        <v>21</v>
      </c>
      <c r="J30" s="844"/>
    </row>
    <row r="31" spans="1:12">
      <c r="A31" s="132">
        <f t="shared" si="0"/>
        <v>22</v>
      </c>
      <c r="B31" s="832" t="s">
        <v>655</v>
      </c>
      <c r="C31" s="839">
        <f>C29</f>
        <v>2018</v>
      </c>
      <c r="D31" s="843"/>
      <c r="E31" s="834">
        <v>3.5999999999999999E-3</v>
      </c>
      <c r="F31" s="997">
        <f>H30+D31</f>
        <v>1.6270666916899168</v>
      </c>
      <c r="G31" s="998">
        <f t="shared" si="5"/>
        <v>5.8574400900837003E-3</v>
      </c>
      <c r="H31" s="998">
        <f t="shared" si="2"/>
        <v>1.6329241317800005</v>
      </c>
      <c r="I31" s="132">
        <f t="shared" si="1"/>
        <v>22</v>
      </c>
      <c r="J31" s="844"/>
    </row>
    <row r="32" spans="1:12">
      <c r="A32" s="132">
        <f t="shared" si="0"/>
        <v>23</v>
      </c>
      <c r="B32" s="832" t="s">
        <v>656</v>
      </c>
      <c r="C32" s="839">
        <f>C29</f>
        <v>2018</v>
      </c>
      <c r="D32" s="843"/>
      <c r="E32" s="834">
        <v>3.7000000000000002E-3</v>
      </c>
      <c r="F32" s="997">
        <f>H31+D32</f>
        <v>1.6329241317800005</v>
      </c>
      <c r="G32" s="998">
        <f t="shared" si="5"/>
        <v>6.0418192875860022E-3</v>
      </c>
      <c r="H32" s="998">
        <f t="shared" si="2"/>
        <v>1.6389659510675865</v>
      </c>
      <c r="I32" s="132">
        <f t="shared" si="1"/>
        <v>23</v>
      </c>
      <c r="J32" s="844"/>
      <c r="L32" s="845"/>
    </row>
    <row r="33" spans="1:10">
      <c r="A33" s="132">
        <f t="shared" si="0"/>
        <v>24</v>
      </c>
      <c r="B33" s="832" t="s">
        <v>657</v>
      </c>
      <c r="C33" s="839">
        <f>C29</f>
        <v>2018</v>
      </c>
      <c r="D33" s="843"/>
      <c r="E33" s="834">
        <v>3.8E-3</v>
      </c>
      <c r="F33" s="997">
        <f t="shared" ref="F33:F93" si="6">H32+D33</f>
        <v>1.6389659510675865</v>
      </c>
      <c r="G33" s="998">
        <f t="shared" si="5"/>
        <v>6.2280706140568284E-3</v>
      </c>
      <c r="H33" s="998">
        <f t="shared" si="2"/>
        <v>1.6451940216816432</v>
      </c>
      <c r="I33" s="132">
        <f t="shared" si="1"/>
        <v>24</v>
      </c>
      <c r="J33" s="844"/>
    </row>
    <row r="34" spans="1:10">
      <c r="A34" s="132">
        <f t="shared" si="0"/>
        <v>25</v>
      </c>
      <c r="B34" s="832" t="s">
        <v>658</v>
      </c>
      <c r="C34" s="839">
        <f>C29</f>
        <v>2018</v>
      </c>
      <c r="D34" s="843"/>
      <c r="E34" s="834">
        <v>3.7000000000000002E-3</v>
      </c>
      <c r="F34" s="997">
        <f t="shared" si="6"/>
        <v>1.6451940216816432</v>
      </c>
      <c r="G34" s="998">
        <f t="shared" si="5"/>
        <v>6.0872178802220799E-3</v>
      </c>
      <c r="H34" s="998">
        <f t="shared" si="2"/>
        <v>1.6512812395618652</v>
      </c>
      <c r="I34" s="132">
        <f t="shared" si="1"/>
        <v>25</v>
      </c>
      <c r="J34" s="844"/>
    </row>
    <row r="35" spans="1:10">
      <c r="A35" s="132">
        <f t="shared" si="0"/>
        <v>26</v>
      </c>
      <c r="B35" s="832" t="s">
        <v>659</v>
      </c>
      <c r="C35" s="839">
        <f>C29</f>
        <v>2018</v>
      </c>
      <c r="D35" s="843"/>
      <c r="E35" s="834">
        <v>4.0000000000000001E-3</v>
      </c>
      <c r="F35" s="997">
        <f t="shared" si="6"/>
        <v>1.6512812395618652</v>
      </c>
      <c r="G35" s="998">
        <f t="shared" si="5"/>
        <v>6.605124958247461E-3</v>
      </c>
      <c r="H35" s="998">
        <f t="shared" si="2"/>
        <v>1.6578863645201127</v>
      </c>
      <c r="I35" s="132">
        <f t="shared" si="1"/>
        <v>26</v>
      </c>
      <c r="J35" s="844"/>
    </row>
    <row r="36" spans="1:10">
      <c r="A36" s="132">
        <f t="shared" si="0"/>
        <v>27</v>
      </c>
      <c r="B36" s="832" t="s">
        <v>660</v>
      </c>
      <c r="C36" s="839">
        <f>C29</f>
        <v>2018</v>
      </c>
      <c r="D36" s="843"/>
      <c r="E36" s="834">
        <v>4.0000000000000001E-3</v>
      </c>
      <c r="F36" s="997">
        <f t="shared" si="6"/>
        <v>1.6578863645201127</v>
      </c>
      <c r="G36" s="998">
        <f t="shared" si="5"/>
        <v>6.6315454580804511E-3</v>
      </c>
      <c r="H36" s="998">
        <f t="shared" si="2"/>
        <v>1.6645179099781933</v>
      </c>
      <c r="I36" s="132">
        <f t="shared" si="1"/>
        <v>27</v>
      </c>
      <c r="J36" s="844"/>
    </row>
    <row r="37" spans="1:10">
      <c r="A37" s="132">
        <f t="shared" si="0"/>
        <v>28</v>
      </c>
      <c r="B37" s="832" t="s">
        <v>661</v>
      </c>
      <c r="C37" s="839">
        <f>C29</f>
        <v>2018</v>
      </c>
      <c r="D37" s="843"/>
      <c r="E37" s="834">
        <v>3.8999999999999998E-3</v>
      </c>
      <c r="F37" s="997">
        <f t="shared" si="6"/>
        <v>1.6645179099781933</v>
      </c>
      <c r="G37" s="998">
        <f t="shared" si="5"/>
        <v>6.4916198489149536E-3</v>
      </c>
      <c r="H37" s="998">
        <f t="shared" si="2"/>
        <v>1.6710095298271082</v>
      </c>
      <c r="I37" s="132">
        <f t="shared" si="1"/>
        <v>28</v>
      </c>
      <c r="J37" s="844"/>
    </row>
    <row r="38" spans="1:10">
      <c r="A38" s="132">
        <f t="shared" si="0"/>
        <v>29</v>
      </c>
      <c r="B38" s="832" t="s">
        <v>662</v>
      </c>
      <c r="C38" s="839">
        <f>C29</f>
        <v>2018</v>
      </c>
      <c r="D38" s="843"/>
      <c r="E38" s="834">
        <v>4.1999999999999997E-3</v>
      </c>
      <c r="F38" s="997">
        <f t="shared" si="6"/>
        <v>1.6710095298271082</v>
      </c>
      <c r="G38" s="998">
        <f t="shared" si="5"/>
        <v>7.0182400252738536E-3</v>
      </c>
      <c r="H38" s="998">
        <f t="shared" si="2"/>
        <v>1.678027769852382</v>
      </c>
      <c r="I38" s="132">
        <f t="shared" si="1"/>
        <v>29</v>
      </c>
      <c r="J38" s="844"/>
    </row>
    <row r="39" spans="1:10">
      <c r="A39" s="132">
        <f t="shared" si="0"/>
        <v>30</v>
      </c>
      <c r="B39" s="832" t="s">
        <v>663</v>
      </c>
      <c r="C39" s="839">
        <f>C29</f>
        <v>2018</v>
      </c>
      <c r="D39" s="843"/>
      <c r="E39" s="834">
        <v>4.1000000000000003E-3</v>
      </c>
      <c r="F39" s="997">
        <f t="shared" si="6"/>
        <v>1.678027769852382</v>
      </c>
      <c r="G39" s="998">
        <f t="shared" si="5"/>
        <v>6.8799138563947664E-3</v>
      </c>
      <c r="H39" s="1001">
        <f t="shared" si="2"/>
        <v>1.6849076837087769</v>
      </c>
      <c r="I39" s="132">
        <f t="shared" si="1"/>
        <v>30</v>
      </c>
      <c r="J39" s="844"/>
    </row>
    <row r="40" spans="1:10">
      <c r="A40" s="132">
        <f t="shared" si="0"/>
        <v>31</v>
      </c>
      <c r="B40" s="836" t="s">
        <v>664</v>
      </c>
      <c r="C40" s="846">
        <f>C29</f>
        <v>2018</v>
      </c>
      <c r="D40" s="847"/>
      <c r="E40" s="838">
        <v>4.1999999999999997E-3</v>
      </c>
      <c r="F40" s="999">
        <f t="shared" si="6"/>
        <v>1.6849076837087769</v>
      </c>
      <c r="G40" s="1000">
        <f t="shared" si="5"/>
        <v>7.076612271576862E-3</v>
      </c>
      <c r="H40" s="1002">
        <f t="shared" si="2"/>
        <v>1.6919842959803537</v>
      </c>
      <c r="I40" s="132">
        <f t="shared" si="1"/>
        <v>31</v>
      </c>
      <c r="J40" s="844"/>
    </row>
    <row r="41" spans="1:10">
      <c r="A41" s="132">
        <f t="shared" si="0"/>
        <v>32</v>
      </c>
      <c r="B41" s="832" t="s">
        <v>653</v>
      </c>
      <c r="C41" s="839">
        <f>C40+1</f>
        <v>2019</v>
      </c>
      <c r="D41" s="462"/>
      <c r="E41" s="834">
        <v>4.4000000000000003E-3</v>
      </c>
      <c r="F41" s="1003">
        <f t="shared" si="6"/>
        <v>1.6919842959803537</v>
      </c>
      <c r="G41" s="998">
        <f t="shared" si="5"/>
        <v>7.4447309023135564E-3</v>
      </c>
      <c r="H41" s="1004">
        <f t="shared" si="2"/>
        <v>1.6994290268826673</v>
      </c>
      <c r="I41" s="132">
        <f t="shared" si="1"/>
        <v>32</v>
      </c>
      <c r="J41" s="844"/>
    </row>
    <row r="42" spans="1:10">
      <c r="A42" s="132">
        <f t="shared" si="0"/>
        <v>33</v>
      </c>
      <c r="B42" s="832" t="s">
        <v>654</v>
      </c>
      <c r="C42" s="839">
        <f>C41</f>
        <v>2019</v>
      </c>
      <c r="D42" s="462"/>
      <c r="E42" s="834">
        <v>4.0000000000000001E-3</v>
      </c>
      <c r="F42" s="1003">
        <f t="shared" si="6"/>
        <v>1.6994290268826673</v>
      </c>
      <c r="G42" s="998">
        <f t="shared" si="5"/>
        <v>6.7977161075306689E-3</v>
      </c>
      <c r="H42" s="1004">
        <f t="shared" si="2"/>
        <v>1.7062267429901981</v>
      </c>
      <c r="I42" s="132">
        <f t="shared" si="1"/>
        <v>33</v>
      </c>
      <c r="J42" s="844"/>
    </row>
    <row r="43" spans="1:10">
      <c r="A43" s="132">
        <f t="shared" si="0"/>
        <v>34</v>
      </c>
      <c r="B43" s="832" t="s">
        <v>655</v>
      </c>
      <c r="C43" s="839">
        <f t="shared" ref="C43:C51" si="7">C42</f>
        <v>2019</v>
      </c>
      <c r="D43" s="462"/>
      <c r="E43" s="834">
        <v>4.4000000000000003E-3</v>
      </c>
      <c r="F43" s="1003">
        <f t="shared" si="6"/>
        <v>1.7062267429901981</v>
      </c>
      <c r="G43" s="998">
        <f t="shared" si="5"/>
        <v>7.5073976691568721E-3</v>
      </c>
      <c r="H43" s="1004">
        <f t="shared" si="2"/>
        <v>1.7137341406593549</v>
      </c>
      <c r="I43" s="132">
        <f t="shared" si="1"/>
        <v>34</v>
      </c>
      <c r="J43" s="844"/>
    </row>
    <row r="44" spans="1:10">
      <c r="A44" s="132">
        <f t="shared" si="0"/>
        <v>35</v>
      </c>
      <c r="B44" s="832" t="s">
        <v>656</v>
      </c>
      <c r="C44" s="839">
        <f t="shared" si="7"/>
        <v>2019</v>
      </c>
      <c r="D44" s="462"/>
      <c r="E44" s="834">
        <v>4.4999999999999997E-3</v>
      </c>
      <c r="F44" s="1003">
        <f t="shared" si="6"/>
        <v>1.7137341406593549</v>
      </c>
      <c r="G44" s="998">
        <f t="shared" si="5"/>
        <v>7.7118036329670969E-3</v>
      </c>
      <c r="H44" s="1004">
        <f t="shared" si="2"/>
        <v>1.721445944292322</v>
      </c>
      <c r="I44" s="132">
        <f t="shared" si="1"/>
        <v>35</v>
      </c>
      <c r="J44" s="844"/>
    </row>
    <row r="45" spans="1:10">
      <c r="A45" s="132">
        <f t="shared" si="0"/>
        <v>36</v>
      </c>
      <c r="B45" s="832" t="s">
        <v>657</v>
      </c>
      <c r="C45" s="839">
        <f t="shared" si="7"/>
        <v>2019</v>
      </c>
      <c r="D45" s="462"/>
      <c r="E45" s="834">
        <v>4.5999999999999999E-3</v>
      </c>
      <c r="F45" s="1003">
        <f t="shared" si="6"/>
        <v>1.721445944292322</v>
      </c>
      <c r="G45" s="998">
        <f t="shared" si="5"/>
        <v>7.9186513437446808E-3</v>
      </c>
      <c r="H45" s="1004">
        <f t="shared" si="2"/>
        <v>1.7293645956360666</v>
      </c>
      <c r="I45" s="132">
        <f t="shared" si="1"/>
        <v>36</v>
      </c>
      <c r="J45" s="844"/>
    </row>
    <row r="46" spans="1:10">
      <c r="A46" s="132">
        <f t="shared" si="0"/>
        <v>37</v>
      </c>
      <c r="B46" s="832" t="s">
        <v>658</v>
      </c>
      <c r="C46" s="839">
        <f t="shared" si="7"/>
        <v>2019</v>
      </c>
      <c r="D46" s="462"/>
      <c r="E46" s="834">
        <v>4.4999999999999997E-3</v>
      </c>
      <c r="F46" s="1003">
        <f t="shared" si="6"/>
        <v>1.7293645956360666</v>
      </c>
      <c r="G46" s="998">
        <f t="shared" si="5"/>
        <v>7.7821406803622994E-3</v>
      </c>
      <c r="H46" s="1004">
        <f t="shared" si="2"/>
        <v>1.7371467363164288</v>
      </c>
      <c r="I46" s="132">
        <f t="shared" si="1"/>
        <v>37</v>
      </c>
      <c r="J46" s="844"/>
    </row>
    <row r="47" spans="1:10">
      <c r="A47" s="132">
        <f t="shared" si="0"/>
        <v>38</v>
      </c>
      <c r="B47" s="832" t="s">
        <v>659</v>
      </c>
      <c r="C47" s="839">
        <f t="shared" si="7"/>
        <v>2019</v>
      </c>
      <c r="D47" s="462"/>
      <c r="E47" s="834">
        <v>4.7000000000000002E-3</v>
      </c>
      <c r="F47" s="1003">
        <f t="shared" si="6"/>
        <v>1.7371467363164288</v>
      </c>
      <c r="G47" s="998">
        <f t="shared" si="5"/>
        <v>8.1645896606872149E-3</v>
      </c>
      <c r="H47" s="1004">
        <f t="shared" si="2"/>
        <v>1.745311325977116</v>
      </c>
      <c r="I47" s="132">
        <f t="shared" si="1"/>
        <v>38</v>
      </c>
      <c r="J47" s="844"/>
    </row>
    <row r="48" spans="1:10">
      <c r="A48" s="132">
        <f t="shared" si="0"/>
        <v>39</v>
      </c>
      <c r="B48" s="832" t="s">
        <v>660</v>
      </c>
      <c r="C48" s="839">
        <f t="shared" si="7"/>
        <v>2019</v>
      </c>
      <c r="D48" s="462"/>
      <c r="E48" s="834">
        <v>4.7000000000000002E-3</v>
      </c>
      <c r="F48" s="1003">
        <f t="shared" si="6"/>
        <v>1.745311325977116</v>
      </c>
      <c r="G48" s="998">
        <f t="shared" si="5"/>
        <v>8.2029632320924448E-3</v>
      </c>
      <c r="H48" s="1004">
        <f t="shared" si="2"/>
        <v>1.7535142892092084</v>
      </c>
      <c r="I48" s="132">
        <f t="shared" si="1"/>
        <v>39</v>
      </c>
      <c r="J48" s="844"/>
    </row>
    <row r="49" spans="1:10">
      <c r="A49" s="132">
        <f t="shared" si="0"/>
        <v>40</v>
      </c>
      <c r="B49" s="832" t="s">
        <v>661</v>
      </c>
      <c r="C49" s="839">
        <f t="shared" si="7"/>
        <v>2019</v>
      </c>
      <c r="D49" s="462"/>
      <c r="E49" s="834">
        <v>4.4999999999999997E-3</v>
      </c>
      <c r="F49" s="1003">
        <f t="shared" si="6"/>
        <v>1.7535142892092084</v>
      </c>
      <c r="G49" s="998">
        <f t="shared" si="5"/>
        <v>7.8908143014414373E-3</v>
      </c>
      <c r="H49" s="1004">
        <f t="shared" si="2"/>
        <v>1.7614051035106497</v>
      </c>
      <c r="I49" s="132">
        <f t="shared" si="1"/>
        <v>40</v>
      </c>
      <c r="J49" s="844"/>
    </row>
    <row r="50" spans="1:10">
      <c r="A50" s="132">
        <f t="shared" si="0"/>
        <v>41</v>
      </c>
      <c r="B50" s="832" t="s">
        <v>662</v>
      </c>
      <c r="C50" s="839">
        <f t="shared" si="7"/>
        <v>2019</v>
      </c>
      <c r="D50" s="462"/>
      <c r="E50" s="834">
        <v>4.5999999999999999E-3</v>
      </c>
      <c r="F50" s="1003">
        <f t="shared" si="6"/>
        <v>1.7614051035106497</v>
      </c>
      <c r="G50" s="998">
        <f t="shared" si="5"/>
        <v>8.102463476148989E-3</v>
      </c>
      <c r="H50" s="1004">
        <f t="shared" si="2"/>
        <v>1.7695075669867988</v>
      </c>
      <c r="I50" s="132">
        <f t="shared" si="1"/>
        <v>41</v>
      </c>
      <c r="J50" s="844"/>
    </row>
    <row r="51" spans="1:10">
      <c r="A51" s="132">
        <f t="shared" si="0"/>
        <v>42</v>
      </c>
      <c r="B51" s="832" t="s">
        <v>663</v>
      </c>
      <c r="C51" s="839">
        <f t="shared" si="7"/>
        <v>2019</v>
      </c>
      <c r="D51" s="462"/>
      <c r="E51" s="834">
        <v>4.4999999999999997E-3</v>
      </c>
      <c r="F51" s="1003">
        <f t="shared" si="6"/>
        <v>1.7695075669867988</v>
      </c>
      <c r="G51" s="998">
        <f t="shared" si="5"/>
        <v>7.9627840514405936E-3</v>
      </c>
      <c r="H51" s="1004">
        <f t="shared" si="2"/>
        <v>1.7774703510382395</v>
      </c>
      <c r="I51" s="132">
        <f t="shared" si="1"/>
        <v>42</v>
      </c>
      <c r="J51" s="844"/>
    </row>
    <row r="52" spans="1:10">
      <c r="A52" s="132">
        <f t="shared" si="0"/>
        <v>43</v>
      </c>
      <c r="B52" s="836" t="s">
        <v>664</v>
      </c>
      <c r="C52" s="846">
        <f>C51</f>
        <v>2019</v>
      </c>
      <c r="D52" s="848"/>
      <c r="E52" s="838">
        <v>4.5999999999999999E-3</v>
      </c>
      <c r="F52" s="999">
        <f t="shared" si="6"/>
        <v>1.7774703510382395</v>
      </c>
      <c r="G52" s="1000">
        <f t="shared" si="5"/>
        <v>8.1763636147759011E-3</v>
      </c>
      <c r="H52" s="1002">
        <f t="shared" si="2"/>
        <v>1.7856467146530153</v>
      </c>
      <c r="I52" s="132">
        <f t="shared" si="1"/>
        <v>43</v>
      </c>
      <c r="J52" s="844"/>
    </row>
    <row r="53" spans="1:10">
      <c r="A53" s="132">
        <f t="shared" si="0"/>
        <v>44</v>
      </c>
      <c r="B53" s="832" t="s">
        <v>653</v>
      </c>
      <c r="C53" s="839">
        <f>C52+1</f>
        <v>2020</v>
      </c>
      <c r="D53" s="462"/>
      <c r="E53" s="834">
        <v>4.1999999999999997E-3</v>
      </c>
      <c r="F53" s="1003">
        <f t="shared" si="6"/>
        <v>1.7856467146530153</v>
      </c>
      <c r="G53" s="998">
        <f t="shared" si="5"/>
        <v>7.4997162015426637E-3</v>
      </c>
      <c r="H53" s="1004">
        <f t="shared" si="2"/>
        <v>1.7931464308545579</v>
      </c>
      <c r="I53" s="132">
        <f t="shared" si="1"/>
        <v>44</v>
      </c>
      <c r="J53" s="844"/>
    </row>
    <row r="54" spans="1:10">
      <c r="A54" s="132">
        <f t="shared" si="0"/>
        <v>45</v>
      </c>
      <c r="B54" s="832" t="s">
        <v>654</v>
      </c>
      <c r="C54" s="839">
        <f>C53</f>
        <v>2020</v>
      </c>
      <c r="D54" s="462"/>
      <c r="E54" s="834">
        <v>3.8999999999999998E-3</v>
      </c>
      <c r="F54" s="1003">
        <f t="shared" si="6"/>
        <v>1.7931464308545579</v>
      </c>
      <c r="G54" s="998">
        <f t="shared" si="5"/>
        <v>6.9932710803327757E-3</v>
      </c>
      <c r="H54" s="1004">
        <f t="shared" si="2"/>
        <v>1.8001397019348908</v>
      </c>
      <c r="I54" s="132">
        <f t="shared" si="1"/>
        <v>45</v>
      </c>
      <c r="J54" s="844"/>
    </row>
    <row r="55" spans="1:10">
      <c r="A55" s="132">
        <f t="shared" si="0"/>
        <v>46</v>
      </c>
      <c r="B55" s="832" t="s">
        <v>655</v>
      </c>
      <c r="C55" s="839">
        <f t="shared" ref="C55:C63" si="8">C54</f>
        <v>2020</v>
      </c>
      <c r="D55" s="462"/>
      <c r="E55" s="834">
        <v>4.1999999999999997E-3</v>
      </c>
      <c r="F55" s="1003">
        <f t="shared" si="6"/>
        <v>1.8001397019348908</v>
      </c>
      <c r="G55" s="998">
        <f t="shared" si="5"/>
        <v>7.560586748126541E-3</v>
      </c>
      <c r="H55" s="1004">
        <f t="shared" si="2"/>
        <v>1.8077002886830174</v>
      </c>
      <c r="I55" s="132">
        <f t="shared" si="1"/>
        <v>46</v>
      </c>
      <c r="J55" s="844"/>
    </row>
    <row r="56" spans="1:10">
      <c r="A56" s="132">
        <f t="shared" si="0"/>
        <v>47</v>
      </c>
      <c r="B56" s="832" t="s">
        <v>656</v>
      </c>
      <c r="C56" s="839">
        <f t="shared" si="8"/>
        <v>2020</v>
      </c>
      <c r="D56" s="462"/>
      <c r="E56" s="834">
        <v>3.8999999999999998E-3</v>
      </c>
      <c r="F56" s="1003">
        <f t="shared" si="6"/>
        <v>1.8077002886830174</v>
      </c>
      <c r="G56" s="998">
        <f t="shared" si="5"/>
        <v>7.0500311258637673E-3</v>
      </c>
      <c r="H56" s="1004">
        <f t="shared" si="2"/>
        <v>1.814750319808881</v>
      </c>
      <c r="I56" s="132">
        <f t="shared" si="1"/>
        <v>47</v>
      </c>
      <c r="J56" s="844"/>
    </row>
    <row r="57" spans="1:10">
      <c r="A57" s="132">
        <f t="shared" si="0"/>
        <v>48</v>
      </c>
      <c r="B57" s="832" t="s">
        <v>657</v>
      </c>
      <c r="C57" s="839">
        <f t="shared" si="8"/>
        <v>2020</v>
      </c>
      <c r="D57" s="462"/>
      <c r="E57" s="834">
        <v>4.0000000000000001E-3</v>
      </c>
      <c r="F57" s="1003">
        <f t="shared" si="6"/>
        <v>1.814750319808881</v>
      </c>
      <c r="G57" s="998">
        <f t="shared" si="5"/>
        <v>7.2590012792355246E-3</v>
      </c>
      <c r="H57" s="1004">
        <f t="shared" si="2"/>
        <v>1.8220093210881165</v>
      </c>
      <c r="I57" s="132">
        <f t="shared" si="1"/>
        <v>48</v>
      </c>
      <c r="J57" s="844"/>
    </row>
    <row r="58" spans="1:10">
      <c r="A58" s="132">
        <f t="shared" si="0"/>
        <v>49</v>
      </c>
      <c r="B58" s="832" t="s">
        <v>658</v>
      </c>
      <c r="C58" s="839">
        <f t="shared" si="8"/>
        <v>2020</v>
      </c>
      <c r="D58" s="462"/>
      <c r="E58" s="834">
        <v>3.8999999999999998E-3</v>
      </c>
      <c r="F58" s="1003">
        <f t="shared" si="6"/>
        <v>1.8220093210881165</v>
      </c>
      <c r="G58" s="998">
        <f t="shared" si="5"/>
        <v>7.1058363522436543E-3</v>
      </c>
      <c r="H58" s="1004">
        <f t="shared" si="2"/>
        <v>1.8291151574403601</v>
      </c>
      <c r="I58" s="132">
        <f t="shared" si="1"/>
        <v>49</v>
      </c>
      <c r="J58" s="844"/>
    </row>
    <row r="59" spans="1:10">
      <c r="A59" s="132">
        <f t="shared" si="0"/>
        <v>50</v>
      </c>
      <c r="B59" s="832" t="s">
        <v>659</v>
      </c>
      <c r="C59" s="839">
        <f t="shared" si="8"/>
        <v>2020</v>
      </c>
      <c r="D59" s="462"/>
      <c r="E59" s="834">
        <v>2.8999999999999998E-3</v>
      </c>
      <c r="F59" s="1003">
        <f t="shared" si="6"/>
        <v>1.8291151574403601</v>
      </c>
      <c r="G59" s="998">
        <f t="shared" si="5"/>
        <v>5.304433956577044E-3</v>
      </c>
      <c r="H59" s="1004">
        <f t="shared" si="2"/>
        <v>1.8344195913969372</v>
      </c>
      <c r="I59" s="132">
        <f t="shared" si="1"/>
        <v>50</v>
      </c>
      <c r="J59" s="844"/>
    </row>
    <row r="60" spans="1:10">
      <c r="A60" s="132">
        <f t="shared" si="0"/>
        <v>51</v>
      </c>
      <c r="B60" s="832" t="s">
        <v>660</v>
      </c>
      <c r="C60" s="839">
        <f t="shared" si="8"/>
        <v>2020</v>
      </c>
      <c r="D60" s="462"/>
      <c r="E60" s="834">
        <v>2.8999999999999998E-3</v>
      </c>
      <c r="F60" s="1003">
        <f t="shared" si="6"/>
        <v>1.8344195913969372</v>
      </c>
      <c r="G60" s="998">
        <f t="shared" si="5"/>
        <v>5.3198168150511175E-3</v>
      </c>
      <c r="H60" s="1004">
        <f t="shared" si="2"/>
        <v>1.8397394082119884</v>
      </c>
      <c r="I60" s="132">
        <f t="shared" si="1"/>
        <v>51</v>
      </c>
      <c r="J60" s="844"/>
    </row>
    <row r="61" spans="1:10">
      <c r="A61" s="132">
        <f t="shared" si="0"/>
        <v>52</v>
      </c>
      <c r="B61" s="832" t="s">
        <v>661</v>
      </c>
      <c r="C61" s="839">
        <f t="shared" si="8"/>
        <v>2020</v>
      </c>
      <c r="D61" s="462"/>
      <c r="E61" s="834">
        <v>2.8E-3</v>
      </c>
      <c r="F61" s="1003">
        <f t="shared" si="6"/>
        <v>1.8397394082119884</v>
      </c>
      <c r="G61" s="998">
        <f t="shared" si="5"/>
        <v>5.1512703429935679E-3</v>
      </c>
      <c r="H61" s="1004">
        <f t="shared" si="2"/>
        <v>1.8448906785549821</v>
      </c>
      <c r="I61" s="132">
        <f t="shared" si="1"/>
        <v>52</v>
      </c>
      <c r="J61" s="844"/>
    </row>
    <row r="62" spans="1:10">
      <c r="A62" s="132">
        <f t="shared" si="0"/>
        <v>53</v>
      </c>
      <c r="B62" s="832" t="s">
        <v>662</v>
      </c>
      <c r="C62" s="839">
        <f t="shared" si="8"/>
        <v>2020</v>
      </c>
      <c r="D62" s="462"/>
      <c r="E62" s="834">
        <v>2.8E-3</v>
      </c>
      <c r="F62" s="1003">
        <f t="shared" si="6"/>
        <v>1.8448906785549821</v>
      </c>
      <c r="G62" s="998">
        <f t="shared" si="5"/>
        <v>5.1656938999539498E-3</v>
      </c>
      <c r="H62" s="1004">
        <f t="shared" si="2"/>
        <v>1.8500563724549361</v>
      </c>
      <c r="I62" s="132">
        <f t="shared" si="1"/>
        <v>53</v>
      </c>
      <c r="J62" s="844"/>
    </row>
    <row r="63" spans="1:10">
      <c r="A63" s="132">
        <f t="shared" si="0"/>
        <v>54</v>
      </c>
      <c r="B63" s="832" t="s">
        <v>663</v>
      </c>
      <c r="C63" s="839">
        <f t="shared" si="8"/>
        <v>2020</v>
      </c>
      <c r="D63" s="462"/>
      <c r="E63" s="834">
        <v>2.7000000000000001E-3</v>
      </c>
      <c r="F63" s="1003">
        <f t="shared" si="6"/>
        <v>1.8500563724549361</v>
      </c>
      <c r="G63" s="998">
        <f t="shared" si="5"/>
        <v>4.9951522056283278E-3</v>
      </c>
      <c r="H63" s="1004">
        <f t="shared" si="2"/>
        <v>1.8550515246605646</v>
      </c>
      <c r="I63" s="132">
        <f t="shared" si="1"/>
        <v>54</v>
      </c>
      <c r="J63" s="844"/>
    </row>
    <row r="64" spans="1:10">
      <c r="A64" s="132">
        <f t="shared" si="0"/>
        <v>55</v>
      </c>
      <c r="B64" s="836" t="s">
        <v>664</v>
      </c>
      <c r="C64" s="846">
        <f>C63</f>
        <v>2020</v>
      </c>
      <c r="D64" s="848"/>
      <c r="E64" s="838">
        <v>2.8E-3</v>
      </c>
      <c r="F64" s="999">
        <f t="shared" si="6"/>
        <v>1.8550515246605646</v>
      </c>
      <c r="G64" s="1000">
        <f t="shared" si="5"/>
        <v>5.1941442690495807E-3</v>
      </c>
      <c r="H64" s="1002">
        <f t="shared" si="2"/>
        <v>1.8602456689296141</v>
      </c>
      <c r="I64" s="132">
        <f t="shared" si="1"/>
        <v>55</v>
      </c>
      <c r="J64" s="844"/>
    </row>
    <row r="65" spans="1:10">
      <c r="A65" s="132">
        <f t="shared" si="0"/>
        <v>56</v>
      </c>
      <c r="B65" s="832" t="s">
        <v>653</v>
      </c>
      <c r="C65" s="839">
        <f>C64+1</f>
        <v>2021</v>
      </c>
      <c r="D65" s="462"/>
      <c r="E65" s="834">
        <v>2.8E-3</v>
      </c>
      <c r="F65" s="1003">
        <f t="shared" si="6"/>
        <v>1.8602456689296141</v>
      </c>
      <c r="G65" s="998">
        <f t="shared" si="5"/>
        <v>5.2086878730029191E-3</v>
      </c>
      <c r="H65" s="1004">
        <f t="shared" si="2"/>
        <v>1.865454356802617</v>
      </c>
      <c r="I65" s="132">
        <f t="shared" si="1"/>
        <v>56</v>
      </c>
      <c r="J65" s="844"/>
    </row>
    <row r="66" spans="1:10">
      <c r="A66" s="132">
        <f t="shared" si="0"/>
        <v>57</v>
      </c>
      <c r="B66" s="832" t="s">
        <v>654</v>
      </c>
      <c r="C66" s="839">
        <f>C65</f>
        <v>2021</v>
      </c>
      <c r="D66" s="462"/>
      <c r="E66" s="834">
        <v>2.5000000000000001E-3</v>
      </c>
      <c r="F66" s="1003">
        <f t="shared" si="6"/>
        <v>1.865454356802617</v>
      </c>
      <c r="G66" s="998">
        <f t="shared" si="5"/>
        <v>4.6636358920065426E-3</v>
      </c>
      <c r="H66" s="1004">
        <f t="shared" si="2"/>
        <v>1.8701179926946234</v>
      </c>
      <c r="I66" s="132">
        <f t="shared" si="1"/>
        <v>57</v>
      </c>
      <c r="J66" s="844"/>
    </row>
    <row r="67" spans="1:10">
      <c r="A67" s="132">
        <f t="shared" si="0"/>
        <v>58</v>
      </c>
      <c r="B67" s="832" t="s">
        <v>655</v>
      </c>
      <c r="C67" s="839">
        <f t="shared" ref="C67:C75" si="9">C66</f>
        <v>2021</v>
      </c>
      <c r="D67" s="462"/>
      <c r="E67" s="834">
        <v>2.8E-3</v>
      </c>
      <c r="F67" s="1003">
        <f t="shared" si="6"/>
        <v>1.8701179926946234</v>
      </c>
      <c r="G67" s="998">
        <f t="shared" si="5"/>
        <v>5.2363303795449458E-3</v>
      </c>
      <c r="H67" s="1004">
        <f t="shared" si="2"/>
        <v>1.8753543230741683</v>
      </c>
      <c r="I67" s="132">
        <f t="shared" si="1"/>
        <v>58</v>
      </c>
      <c r="J67" s="844"/>
    </row>
    <row r="68" spans="1:10">
      <c r="A68" s="132">
        <f t="shared" si="0"/>
        <v>59</v>
      </c>
      <c r="B68" s="832" t="s">
        <v>656</v>
      </c>
      <c r="C68" s="839">
        <f t="shared" si="9"/>
        <v>2021</v>
      </c>
      <c r="D68" s="462"/>
      <c r="E68" s="834">
        <v>2.7000000000000001E-3</v>
      </c>
      <c r="F68" s="1003">
        <f t="shared" si="6"/>
        <v>1.8753543230741683</v>
      </c>
      <c r="G68" s="998">
        <f t="shared" si="5"/>
        <v>5.0634566723002546E-3</v>
      </c>
      <c r="H68" s="1004">
        <f t="shared" si="2"/>
        <v>1.8804177797464685</v>
      </c>
      <c r="I68" s="132">
        <f t="shared" si="1"/>
        <v>59</v>
      </c>
      <c r="J68" s="844"/>
    </row>
    <row r="69" spans="1:10">
      <c r="A69" s="132">
        <f t="shared" si="0"/>
        <v>60</v>
      </c>
      <c r="B69" s="832" t="s">
        <v>657</v>
      </c>
      <c r="C69" s="839">
        <f t="shared" si="9"/>
        <v>2021</v>
      </c>
      <c r="D69" s="462"/>
      <c r="E69" s="834">
        <v>2.8E-3</v>
      </c>
      <c r="F69" s="1003">
        <f t="shared" si="6"/>
        <v>1.8804177797464685</v>
      </c>
      <c r="G69" s="998">
        <f t="shared" si="5"/>
        <v>5.2651697832901117E-3</v>
      </c>
      <c r="H69" s="1004">
        <f t="shared" si="2"/>
        <v>1.8856829495297587</v>
      </c>
      <c r="I69" s="132">
        <f t="shared" si="1"/>
        <v>60</v>
      </c>
      <c r="J69" s="844"/>
    </row>
    <row r="70" spans="1:10">
      <c r="A70" s="132">
        <f t="shared" si="0"/>
        <v>61</v>
      </c>
      <c r="B70" s="832" t="s">
        <v>658</v>
      </c>
      <c r="C70" s="839">
        <f t="shared" si="9"/>
        <v>2021</v>
      </c>
      <c r="D70" s="462"/>
      <c r="E70" s="834">
        <v>2.7000000000000001E-3</v>
      </c>
      <c r="F70" s="1003">
        <f t="shared" si="6"/>
        <v>1.8856829495297587</v>
      </c>
      <c r="G70" s="998">
        <f t="shared" si="5"/>
        <v>5.0913439637303489E-3</v>
      </c>
      <c r="H70" s="1004">
        <f t="shared" si="2"/>
        <v>1.890774293493489</v>
      </c>
      <c r="I70" s="132">
        <f t="shared" si="1"/>
        <v>61</v>
      </c>
      <c r="J70" s="844"/>
    </row>
    <row r="71" spans="1:10">
      <c r="A71" s="132">
        <f t="shared" si="0"/>
        <v>62</v>
      </c>
      <c r="B71" s="832" t="s">
        <v>659</v>
      </c>
      <c r="C71" s="839">
        <f t="shared" si="9"/>
        <v>2021</v>
      </c>
      <c r="D71" s="462"/>
      <c r="E71" s="834">
        <v>2.8E-3</v>
      </c>
      <c r="F71" s="1003">
        <f t="shared" si="6"/>
        <v>1.890774293493489</v>
      </c>
      <c r="G71" s="998">
        <f t="shared" si="5"/>
        <v>5.2941680217817692E-3</v>
      </c>
      <c r="H71" s="1004">
        <f t="shared" si="2"/>
        <v>1.8960684615152708</v>
      </c>
      <c r="I71" s="132">
        <f t="shared" si="1"/>
        <v>62</v>
      </c>
      <c r="J71" s="844"/>
    </row>
    <row r="72" spans="1:10">
      <c r="A72" s="132">
        <f t="shared" si="0"/>
        <v>63</v>
      </c>
      <c r="B72" s="832" t="s">
        <v>660</v>
      </c>
      <c r="C72" s="839">
        <f t="shared" si="9"/>
        <v>2021</v>
      </c>
      <c r="D72" s="462"/>
      <c r="E72" s="834">
        <v>2.8E-3</v>
      </c>
      <c r="F72" s="1003">
        <f t="shared" si="6"/>
        <v>1.8960684615152708</v>
      </c>
      <c r="G72" s="998">
        <f t="shared" si="5"/>
        <v>5.3089916922427578E-3</v>
      </c>
      <c r="H72" s="1004">
        <f t="shared" si="2"/>
        <v>1.9013774532075136</v>
      </c>
      <c r="I72" s="132">
        <f t="shared" si="1"/>
        <v>63</v>
      </c>
      <c r="J72" s="844"/>
    </row>
    <row r="73" spans="1:10">
      <c r="A73" s="132">
        <f t="shared" si="0"/>
        <v>64</v>
      </c>
      <c r="B73" s="832" t="s">
        <v>661</v>
      </c>
      <c r="C73" s="839">
        <f t="shared" si="9"/>
        <v>2021</v>
      </c>
      <c r="D73" s="462"/>
      <c r="E73" s="834">
        <v>2.7000000000000001E-3</v>
      </c>
      <c r="F73" s="1003">
        <f t="shared" si="6"/>
        <v>1.9013774532075136</v>
      </c>
      <c r="G73" s="998">
        <f t="shared" si="5"/>
        <v>5.133719123660287E-3</v>
      </c>
      <c r="H73" s="1004">
        <f t="shared" si="2"/>
        <v>1.9065111723311738</v>
      </c>
      <c r="I73" s="132">
        <f t="shared" si="1"/>
        <v>64</v>
      </c>
      <c r="J73" s="844"/>
    </row>
    <row r="74" spans="1:10">
      <c r="A74" s="132">
        <f t="shared" si="0"/>
        <v>65</v>
      </c>
      <c r="B74" s="832" t="s">
        <v>662</v>
      </c>
      <c r="C74" s="839">
        <f t="shared" si="9"/>
        <v>2021</v>
      </c>
      <c r="D74" s="462"/>
      <c r="E74" s="834">
        <v>2.8E-3</v>
      </c>
      <c r="F74" s="1003">
        <f t="shared" si="6"/>
        <v>1.9065111723311738</v>
      </c>
      <c r="G74" s="998">
        <f t="shared" si="5"/>
        <v>5.3382312825272869E-3</v>
      </c>
      <c r="H74" s="1004">
        <f t="shared" si="2"/>
        <v>1.911849403613701</v>
      </c>
      <c r="I74" s="132">
        <f t="shared" si="1"/>
        <v>65</v>
      </c>
      <c r="J74" s="844"/>
    </row>
    <row r="75" spans="1:10">
      <c r="A75" s="132">
        <f t="shared" ref="A75:A93" si="10">A74+1</f>
        <v>66</v>
      </c>
      <c r="B75" s="832" t="s">
        <v>663</v>
      </c>
      <c r="C75" s="839">
        <f t="shared" si="9"/>
        <v>2021</v>
      </c>
      <c r="D75" s="462"/>
      <c r="E75" s="834">
        <v>2.7000000000000001E-3</v>
      </c>
      <c r="F75" s="1003">
        <f t="shared" si="6"/>
        <v>1.911849403613701</v>
      </c>
      <c r="G75" s="998">
        <f t="shared" si="5"/>
        <v>5.1619933897569933E-3</v>
      </c>
      <c r="H75" s="1004">
        <f t="shared" si="2"/>
        <v>1.9170113970034581</v>
      </c>
      <c r="I75" s="132">
        <f t="shared" ref="I75:I93" si="11">I74+1</f>
        <v>66</v>
      </c>
      <c r="J75" s="844"/>
    </row>
    <row r="76" spans="1:10">
      <c r="A76" s="132">
        <f t="shared" si="10"/>
        <v>67</v>
      </c>
      <c r="B76" s="836" t="s">
        <v>664</v>
      </c>
      <c r="C76" s="846">
        <f>C75</f>
        <v>2021</v>
      </c>
      <c r="D76" s="848"/>
      <c r="E76" s="838">
        <v>2.8E-3</v>
      </c>
      <c r="F76" s="999">
        <f t="shared" si="6"/>
        <v>1.9170113970034581</v>
      </c>
      <c r="G76" s="1000">
        <f t="shared" si="5"/>
        <v>5.367631911609683E-3</v>
      </c>
      <c r="H76" s="1002">
        <f t="shared" si="2"/>
        <v>1.9223790289150677</v>
      </c>
      <c r="I76" s="132">
        <f t="shared" si="11"/>
        <v>67</v>
      </c>
      <c r="J76" s="844"/>
    </row>
    <row r="77" spans="1:10">
      <c r="A77" s="132">
        <f t="shared" si="10"/>
        <v>68</v>
      </c>
      <c r="B77" s="832" t="s">
        <v>653</v>
      </c>
      <c r="C77" s="839">
        <v>2022</v>
      </c>
      <c r="D77" s="462"/>
      <c r="E77" s="834">
        <v>2.8E-3</v>
      </c>
      <c r="F77" s="1003">
        <f t="shared" si="6"/>
        <v>1.9223790289150677</v>
      </c>
      <c r="G77" s="1005">
        <f t="shared" si="5"/>
        <v>5.3826612809621897E-3</v>
      </c>
      <c r="H77" s="1004">
        <f t="shared" si="2"/>
        <v>1.9277616901960299</v>
      </c>
      <c r="I77" s="132">
        <f t="shared" si="11"/>
        <v>68</v>
      </c>
      <c r="J77" s="844"/>
    </row>
    <row r="78" spans="1:10">
      <c r="A78" s="132">
        <f t="shared" si="10"/>
        <v>69</v>
      </c>
      <c r="B78" s="832" t="s">
        <v>654</v>
      </c>
      <c r="C78" s="839">
        <v>2022</v>
      </c>
      <c r="D78" s="462"/>
      <c r="E78" s="834">
        <v>2.5000000000000001E-3</v>
      </c>
      <c r="F78" s="1003">
        <f t="shared" si="6"/>
        <v>1.9277616901960299</v>
      </c>
      <c r="G78" s="1005">
        <f t="shared" si="5"/>
        <v>4.8194042254900748E-3</v>
      </c>
      <c r="H78" s="1004">
        <f t="shared" si="2"/>
        <v>1.93258109442152</v>
      </c>
      <c r="I78" s="132">
        <f t="shared" si="11"/>
        <v>69</v>
      </c>
      <c r="J78" s="844"/>
    </row>
    <row r="79" spans="1:10">
      <c r="A79" s="132">
        <f t="shared" si="10"/>
        <v>70</v>
      </c>
      <c r="B79" s="832" t="s">
        <v>655</v>
      </c>
      <c r="C79" s="839">
        <v>2022</v>
      </c>
      <c r="D79" s="462"/>
      <c r="E79" s="834">
        <v>2.8E-3</v>
      </c>
      <c r="F79" s="1003">
        <f t="shared" si="6"/>
        <v>1.93258109442152</v>
      </c>
      <c r="G79" s="1005">
        <f t="shared" si="5"/>
        <v>5.4112270643802557E-3</v>
      </c>
      <c r="H79" s="1004">
        <f t="shared" si="2"/>
        <v>1.9379923214859003</v>
      </c>
      <c r="I79" s="132">
        <f t="shared" si="11"/>
        <v>70</v>
      </c>
      <c r="J79" s="844"/>
    </row>
    <row r="80" spans="1:10">
      <c r="A80" s="132">
        <f t="shared" si="10"/>
        <v>71</v>
      </c>
      <c r="B80" s="832" t="s">
        <v>656</v>
      </c>
      <c r="C80" s="839">
        <v>2022</v>
      </c>
      <c r="D80" s="462"/>
      <c r="E80" s="834">
        <v>2.7000000000000001E-3</v>
      </c>
      <c r="F80" s="1003">
        <f t="shared" si="6"/>
        <v>1.9379923214859003</v>
      </c>
      <c r="G80" s="1005">
        <f t="shared" si="5"/>
        <v>5.2325792680119314E-3</v>
      </c>
      <c r="H80" s="1004">
        <f t="shared" si="2"/>
        <v>1.9432249007539122</v>
      </c>
      <c r="I80" s="132">
        <f t="shared" si="11"/>
        <v>71</v>
      </c>
      <c r="J80" s="844"/>
    </row>
    <row r="81" spans="1:10">
      <c r="A81" s="132">
        <f t="shared" si="10"/>
        <v>72</v>
      </c>
      <c r="B81" s="832" t="s">
        <v>657</v>
      </c>
      <c r="C81" s="839">
        <v>2022</v>
      </c>
      <c r="D81" s="462"/>
      <c r="E81" s="834">
        <v>2.8E-3</v>
      </c>
      <c r="F81" s="1003">
        <f t="shared" si="6"/>
        <v>1.9432249007539122</v>
      </c>
      <c r="G81" s="1005">
        <f t="shared" si="5"/>
        <v>5.4410297221109544E-3</v>
      </c>
      <c r="H81" s="1004">
        <f t="shared" ref="H81:H93" si="12">F81+G81</f>
        <v>1.9486659304760232</v>
      </c>
      <c r="I81" s="132">
        <f t="shared" si="11"/>
        <v>72</v>
      </c>
      <c r="J81" s="844"/>
    </row>
    <row r="82" spans="1:10">
      <c r="A82" s="132">
        <f t="shared" si="10"/>
        <v>73</v>
      </c>
      <c r="B82" s="832" t="s">
        <v>658</v>
      </c>
      <c r="C82" s="839">
        <v>2022</v>
      </c>
      <c r="D82" s="462"/>
      <c r="E82" s="834">
        <v>2.7000000000000001E-3</v>
      </c>
      <c r="F82" s="1003">
        <f t="shared" si="6"/>
        <v>1.9486659304760232</v>
      </c>
      <c r="G82" s="1005">
        <f t="shared" si="5"/>
        <v>5.2613980122852627E-3</v>
      </c>
      <c r="H82" s="1004">
        <f t="shared" si="12"/>
        <v>1.9539273284883085</v>
      </c>
      <c r="I82" s="132">
        <f t="shared" si="11"/>
        <v>73</v>
      </c>
      <c r="J82" s="844"/>
    </row>
    <row r="83" spans="1:10">
      <c r="A83" s="132">
        <f t="shared" si="10"/>
        <v>74</v>
      </c>
      <c r="B83" s="832" t="s">
        <v>659</v>
      </c>
      <c r="C83" s="839">
        <v>2022</v>
      </c>
      <c r="D83" s="462"/>
      <c r="E83" s="834">
        <v>3.0999999999999999E-3</v>
      </c>
      <c r="F83" s="1003">
        <f t="shared" si="6"/>
        <v>1.9539273284883085</v>
      </c>
      <c r="G83" s="1005">
        <f t="shared" ref="G83:G93" si="13">(H82+F83)/2*E83</f>
        <v>6.0571747183137559E-3</v>
      </c>
      <c r="H83" s="1004">
        <f t="shared" si="12"/>
        <v>1.9599845032066223</v>
      </c>
      <c r="I83" s="132">
        <f t="shared" si="11"/>
        <v>74</v>
      </c>
      <c r="J83" s="844"/>
    </row>
    <row r="84" spans="1:10">
      <c r="A84" s="132">
        <f t="shared" si="10"/>
        <v>75</v>
      </c>
      <c r="B84" s="832" t="s">
        <v>660</v>
      </c>
      <c r="C84" s="839">
        <v>2022</v>
      </c>
      <c r="D84" s="462"/>
      <c r="E84" s="834">
        <v>3.0999999999999999E-3</v>
      </c>
      <c r="F84" s="1003">
        <f t="shared" si="6"/>
        <v>1.9599845032066223</v>
      </c>
      <c r="G84" s="1005">
        <f t="shared" si="13"/>
        <v>6.0759519599405286E-3</v>
      </c>
      <c r="H84" s="1004">
        <f t="shared" si="12"/>
        <v>1.9660604551665628</v>
      </c>
      <c r="I84" s="132">
        <f t="shared" si="11"/>
        <v>75</v>
      </c>
      <c r="J84" s="844"/>
    </row>
    <row r="85" spans="1:10">
      <c r="A85" s="132">
        <f t="shared" si="10"/>
        <v>76</v>
      </c>
      <c r="B85" s="832" t="s">
        <v>661</v>
      </c>
      <c r="C85" s="839">
        <v>2022</v>
      </c>
      <c r="D85" s="462"/>
      <c r="E85" s="834">
        <v>3.0000000000000001E-3</v>
      </c>
      <c r="F85" s="1003">
        <f t="shared" si="6"/>
        <v>1.9660604551665628</v>
      </c>
      <c r="G85" s="1005">
        <f t="shared" si="13"/>
        <v>5.8981813654996884E-3</v>
      </c>
      <c r="H85" s="1004">
        <f t="shared" si="12"/>
        <v>1.9719586365320625</v>
      </c>
      <c r="I85" s="132">
        <f t="shared" si="11"/>
        <v>76</v>
      </c>
      <c r="J85" s="844"/>
    </row>
    <row r="86" spans="1:10">
      <c r="A86" s="132">
        <f t="shared" si="10"/>
        <v>77</v>
      </c>
      <c r="B86" s="832" t="s">
        <v>662</v>
      </c>
      <c r="C86" s="839">
        <v>2022</v>
      </c>
      <c r="D86" s="462"/>
      <c r="E86" s="834">
        <v>4.1999999999999997E-3</v>
      </c>
      <c r="F86" s="1003">
        <f t="shared" si="6"/>
        <v>1.9719586365320625</v>
      </c>
      <c r="G86" s="1005">
        <f t="shared" si="13"/>
        <v>8.2822262734346622E-3</v>
      </c>
      <c r="H86" s="1004">
        <f t="shared" si="12"/>
        <v>1.980240862805497</v>
      </c>
      <c r="I86" s="132">
        <f t="shared" si="11"/>
        <v>77</v>
      </c>
      <c r="J86" s="844"/>
    </row>
    <row r="87" spans="1:10">
      <c r="A87" s="132">
        <f t="shared" si="10"/>
        <v>78</v>
      </c>
      <c r="B87" s="832" t="s">
        <v>663</v>
      </c>
      <c r="C87" s="839">
        <v>2022</v>
      </c>
      <c r="D87" s="462"/>
      <c r="E87" s="834">
        <v>4.0000000000000001E-3</v>
      </c>
      <c r="F87" s="1003">
        <f t="shared" si="6"/>
        <v>1.980240862805497</v>
      </c>
      <c r="G87" s="1005">
        <f t="shared" si="13"/>
        <v>7.9209634512219882E-3</v>
      </c>
      <c r="H87" s="1004">
        <f t="shared" si="12"/>
        <v>1.9881618262567191</v>
      </c>
      <c r="I87" s="132">
        <f t="shared" si="11"/>
        <v>78</v>
      </c>
      <c r="J87" s="844"/>
    </row>
    <row r="88" spans="1:10">
      <c r="A88" s="132">
        <f t="shared" si="10"/>
        <v>79</v>
      </c>
      <c r="B88" s="836" t="s">
        <v>664</v>
      </c>
      <c r="C88" s="846">
        <v>2022</v>
      </c>
      <c r="D88" s="848"/>
      <c r="E88" s="838">
        <v>4.1999999999999997E-3</v>
      </c>
      <c r="F88" s="999">
        <f t="shared" si="6"/>
        <v>1.9881618262567191</v>
      </c>
      <c r="G88" s="1000">
        <f t="shared" si="13"/>
        <v>8.3502796702782205E-3</v>
      </c>
      <c r="H88" s="1002">
        <f t="shared" si="12"/>
        <v>1.9965121059269972</v>
      </c>
      <c r="I88" s="132">
        <f t="shared" si="11"/>
        <v>79</v>
      </c>
      <c r="J88" s="844"/>
    </row>
    <row r="89" spans="1:10">
      <c r="A89" s="132">
        <f t="shared" si="10"/>
        <v>80</v>
      </c>
      <c r="B89" s="832" t="s">
        <v>653</v>
      </c>
      <c r="C89" s="839">
        <v>2023</v>
      </c>
      <c r="D89" s="462"/>
      <c r="E89" s="834">
        <v>5.4000000000000003E-3</v>
      </c>
      <c r="F89" s="1003">
        <f t="shared" si="6"/>
        <v>1.9965121059269972</v>
      </c>
      <c r="G89" s="1005">
        <f t="shared" si="13"/>
        <v>1.0781165372005786E-2</v>
      </c>
      <c r="H89" s="1004">
        <f t="shared" si="12"/>
        <v>2.007293271299003</v>
      </c>
      <c r="I89" s="132">
        <f t="shared" si="11"/>
        <v>80</v>
      </c>
      <c r="J89" s="844"/>
    </row>
    <row r="90" spans="1:10">
      <c r="A90" s="132">
        <f t="shared" si="10"/>
        <v>81</v>
      </c>
      <c r="B90" s="832" t="s">
        <v>654</v>
      </c>
      <c r="C90" s="839">
        <v>2023</v>
      </c>
      <c r="D90" s="462"/>
      <c r="E90" s="834">
        <v>4.7999999999999996E-3</v>
      </c>
      <c r="F90" s="1003">
        <f t="shared" si="6"/>
        <v>2.007293271299003</v>
      </c>
      <c r="G90" s="1005">
        <f t="shared" si="13"/>
        <v>9.6350077022352137E-3</v>
      </c>
      <c r="H90" s="1004">
        <f t="shared" si="12"/>
        <v>2.0169282790012382</v>
      </c>
      <c r="I90" s="132">
        <f t="shared" si="11"/>
        <v>81</v>
      </c>
      <c r="J90" s="844"/>
    </row>
    <row r="91" spans="1:10">
      <c r="A91" s="132">
        <f t="shared" si="10"/>
        <v>82</v>
      </c>
      <c r="B91" s="832" t="s">
        <v>655</v>
      </c>
      <c r="C91" s="839">
        <v>2023</v>
      </c>
      <c r="D91" s="462"/>
      <c r="E91" s="834">
        <v>5.4000000000000003E-3</v>
      </c>
      <c r="F91" s="1003">
        <f t="shared" si="6"/>
        <v>2.0169282790012382</v>
      </c>
      <c r="G91" s="1005">
        <f t="shared" si="13"/>
        <v>1.0891412706606686E-2</v>
      </c>
      <c r="H91" s="1004">
        <f t="shared" si="12"/>
        <v>2.0278196917078448</v>
      </c>
      <c r="I91" s="132">
        <f t="shared" si="11"/>
        <v>82</v>
      </c>
      <c r="J91" s="844"/>
    </row>
    <row r="92" spans="1:10">
      <c r="A92" s="132">
        <f t="shared" si="10"/>
        <v>83</v>
      </c>
      <c r="B92" s="832" t="s">
        <v>656</v>
      </c>
      <c r="C92" s="839">
        <v>2023</v>
      </c>
      <c r="D92" s="462"/>
      <c r="E92" s="834">
        <v>6.1999999999999998E-3</v>
      </c>
      <c r="F92" s="1003">
        <f t="shared" si="6"/>
        <v>2.0278196917078448</v>
      </c>
      <c r="G92" s="1005">
        <f t="shared" si="13"/>
        <v>1.2572482088588638E-2</v>
      </c>
      <c r="H92" s="1004">
        <f t="shared" si="12"/>
        <v>2.0403921737964335</v>
      </c>
      <c r="I92" s="132">
        <f t="shared" si="11"/>
        <v>83</v>
      </c>
      <c r="J92" s="844"/>
    </row>
    <row r="93" spans="1:10">
      <c r="A93" s="132">
        <f t="shared" si="10"/>
        <v>84</v>
      </c>
      <c r="B93" s="832" t="s">
        <v>657</v>
      </c>
      <c r="C93" s="839">
        <v>2023</v>
      </c>
      <c r="D93" s="462"/>
      <c r="E93" s="834">
        <v>6.4000000000000003E-3</v>
      </c>
      <c r="F93" s="1003">
        <f t="shared" si="6"/>
        <v>2.0403921737964335</v>
      </c>
      <c r="G93" s="1005">
        <f t="shared" si="13"/>
        <v>1.3058509912297175E-2</v>
      </c>
      <c r="H93" s="1004">
        <f t="shared" si="12"/>
        <v>2.0534506837087307</v>
      </c>
      <c r="I93" s="132">
        <f t="shared" si="11"/>
        <v>84</v>
      </c>
      <c r="J93" s="844"/>
    </row>
    <row r="94" spans="1:10">
      <c r="A94" s="132">
        <f>A93+1</f>
        <v>85</v>
      </c>
      <c r="B94" s="832" t="s">
        <v>658</v>
      </c>
      <c r="C94" s="839">
        <v>2023</v>
      </c>
      <c r="D94" s="462"/>
      <c r="E94" s="834">
        <v>6.1999999999999998E-3</v>
      </c>
      <c r="F94" s="1003">
        <f>H93+D94</f>
        <v>2.0534506837087307</v>
      </c>
      <c r="G94" s="1005">
        <f>(H93+F94)/2*E94</f>
        <v>1.273139423899413E-2</v>
      </c>
      <c r="H94" s="1004">
        <f>F94+G94</f>
        <v>2.0661820779477247</v>
      </c>
      <c r="I94" s="132">
        <f>I93+1</f>
        <v>85</v>
      </c>
      <c r="J94" s="844"/>
    </row>
    <row r="95" spans="1:10">
      <c r="A95" s="132">
        <f t="shared" ref="A95:A113" si="14">A94+1</f>
        <v>86</v>
      </c>
      <c r="B95" s="832" t="s">
        <v>659</v>
      </c>
      <c r="C95" s="839">
        <v>2023</v>
      </c>
      <c r="D95" s="462"/>
      <c r="E95" s="834">
        <v>6.7999999999999996E-3</v>
      </c>
      <c r="F95" s="1003">
        <f t="shared" ref="F95:F105" si="15">H94+D95</f>
        <v>2.0661820779477247</v>
      </c>
      <c r="G95" s="1005">
        <f t="shared" ref="G95:G105" si="16">(H94+F95)/2*E95</f>
        <v>1.4050038130044526E-2</v>
      </c>
      <c r="H95" s="1004">
        <f t="shared" ref="H95:H112" si="17">F95+G95</f>
        <v>2.0802321160777693</v>
      </c>
      <c r="I95" s="132">
        <f t="shared" ref="I95:I113" si="18">I94+1</f>
        <v>86</v>
      </c>
      <c r="J95" s="844"/>
    </row>
    <row r="96" spans="1:10">
      <c r="A96" s="132">
        <f t="shared" si="14"/>
        <v>87</v>
      </c>
      <c r="B96" s="832" t="s">
        <v>660</v>
      </c>
      <c r="C96" s="839">
        <v>2023</v>
      </c>
      <c r="D96" s="462"/>
      <c r="E96" s="834">
        <v>6.7999999999999996E-3</v>
      </c>
      <c r="F96" s="1003">
        <f t="shared" si="15"/>
        <v>2.0802321160777693</v>
      </c>
      <c r="G96" s="1005">
        <f t="shared" si="16"/>
        <v>1.414557838932883E-2</v>
      </c>
      <c r="H96" s="1004">
        <f t="shared" si="17"/>
        <v>2.0943776944670982</v>
      </c>
      <c r="I96" s="132">
        <f t="shared" si="18"/>
        <v>87</v>
      </c>
      <c r="J96" s="844"/>
    </row>
    <row r="97" spans="1:10">
      <c r="A97" s="132">
        <f t="shared" si="14"/>
        <v>88</v>
      </c>
      <c r="B97" s="832" t="s">
        <v>661</v>
      </c>
      <c r="C97" s="839">
        <v>2023</v>
      </c>
      <c r="D97" s="462"/>
      <c r="E97" s="834">
        <v>6.6E-3</v>
      </c>
      <c r="F97" s="1003">
        <f t="shared" si="15"/>
        <v>2.0943776944670982</v>
      </c>
      <c r="G97" s="1005">
        <f t="shared" si="16"/>
        <v>1.3822892783482848E-2</v>
      </c>
      <c r="H97" s="1004">
        <f t="shared" si="17"/>
        <v>2.1082005872505811</v>
      </c>
      <c r="I97" s="132">
        <f t="shared" si="18"/>
        <v>88</v>
      </c>
      <c r="J97" s="844"/>
    </row>
    <row r="98" spans="1:10">
      <c r="A98" s="132">
        <f t="shared" si="14"/>
        <v>89</v>
      </c>
      <c r="B98" s="832" t="s">
        <v>662</v>
      </c>
      <c r="C98" s="839">
        <v>2023</v>
      </c>
      <c r="D98" s="462"/>
      <c r="E98" s="834">
        <v>7.1000000000000004E-3</v>
      </c>
      <c r="F98" s="1003">
        <f t="shared" si="15"/>
        <v>2.1082005872505811</v>
      </c>
      <c r="G98" s="1005">
        <f t="shared" si="16"/>
        <v>1.4968224169479127E-2</v>
      </c>
      <c r="H98" s="1004">
        <f t="shared" si="17"/>
        <v>2.1231688114200602</v>
      </c>
      <c r="I98" s="132">
        <f t="shared" si="18"/>
        <v>89</v>
      </c>
      <c r="J98" s="844"/>
    </row>
    <row r="99" spans="1:10">
      <c r="A99" s="132">
        <f t="shared" si="14"/>
        <v>90</v>
      </c>
      <c r="B99" s="832" t="s">
        <v>663</v>
      </c>
      <c r="C99" s="839">
        <v>2023</v>
      </c>
      <c r="D99" s="462"/>
      <c r="E99" s="834">
        <v>6.8999999999999999E-3</v>
      </c>
      <c r="F99" s="1003">
        <f t="shared" si="15"/>
        <v>2.1231688114200602</v>
      </c>
      <c r="G99" s="1005">
        <f t="shared" si="16"/>
        <v>1.4649864798798415E-2</v>
      </c>
      <c r="H99" s="1004">
        <f t="shared" si="17"/>
        <v>2.1378186762188585</v>
      </c>
      <c r="I99" s="132">
        <f t="shared" si="18"/>
        <v>90</v>
      </c>
      <c r="J99" s="844"/>
    </row>
    <row r="100" spans="1:10">
      <c r="A100" s="132">
        <f t="shared" si="14"/>
        <v>91</v>
      </c>
      <c r="B100" s="836" t="s">
        <v>664</v>
      </c>
      <c r="C100" s="846">
        <v>2023</v>
      </c>
      <c r="D100" s="848"/>
      <c r="E100" s="838">
        <v>7.1000000000000004E-3</v>
      </c>
      <c r="F100" s="999">
        <f t="shared" si="15"/>
        <v>2.1378186762188585</v>
      </c>
      <c r="G100" s="1000">
        <f t="shared" si="16"/>
        <v>1.5178512601153896E-2</v>
      </c>
      <c r="H100" s="1002">
        <f t="shared" si="17"/>
        <v>2.1529971888200126</v>
      </c>
      <c r="I100" s="132">
        <f t="shared" si="18"/>
        <v>91</v>
      </c>
      <c r="J100" s="844"/>
    </row>
    <row r="101" spans="1:10">
      <c r="A101" s="132">
        <f t="shared" si="14"/>
        <v>92</v>
      </c>
      <c r="B101" s="832" t="s">
        <v>653</v>
      </c>
      <c r="C101" s="839">
        <v>2024</v>
      </c>
      <c r="D101" s="835"/>
      <c r="E101" s="834">
        <v>7.1999999999999998E-3</v>
      </c>
      <c r="F101" s="1003">
        <f t="shared" si="15"/>
        <v>2.1529971888200126</v>
      </c>
      <c r="G101" s="998">
        <f t="shared" si="16"/>
        <v>1.550157975950409E-2</v>
      </c>
      <c r="H101" s="1004">
        <f t="shared" si="17"/>
        <v>2.1684987685795165</v>
      </c>
      <c r="I101" s="132">
        <f t="shared" si="18"/>
        <v>92</v>
      </c>
      <c r="J101" s="844"/>
    </row>
    <row r="102" spans="1:10">
      <c r="A102" s="132">
        <f t="shared" si="14"/>
        <v>93</v>
      </c>
      <c r="B102" s="832" t="s">
        <v>654</v>
      </c>
      <c r="C102" s="839">
        <v>2024</v>
      </c>
      <c r="D102" s="835"/>
      <c r="E102" s="834">
        <v>6.7999999999999996E-3</v>
      </c>
      <c r="F102" s="1003">
        <f t="shared" si="15"/>
        <v>2.1684987685795165</v>
      </c>
      <c r="G102" s="998">
        <f t="shared" si="16"/>
        <v>1.4745791626340711E-2</v>
      </c>
      <c r="H102" s="1004">
        <f t="shared" si="17"/>
        <v>2.1832445602058574</v>
      </c>
      <c r="I102" s="132">
        <f t="shared" si="18"/>
        <v>93</v>
      </c>
      <c r="J102" s="844"/>
    </row>
    <row r="103" spans="1:10">
      <c r="A103" s="132">
        <f t="shared" si="14"/>
        <v>94</v>
      </c>
      <c r="B103" s="832" t="s">
        <v>655</v>
      </c>
      <c r="C103" s="839">
        <v>2024</v>
      </c>
      <c r="D103" s="835"/>
      <c r="E103" s="834">
        <v>7.1999999999999998E-3</v>
      </c>
      <c r="F103" s="1003">
        <f t="shared" si="15"/>
        <v>2.1832445602058574</v>
      </c>
      <c r="G103" s="998">
        <f t="shared" si="16"/>
        <v>1.5719360833482174E-2</v>
      </c>
      <c r="H103" s="1004">
        <f t="shared" si="17"/>
        <v>2.1989639210393395</v>
      </c>
      <c r="I103" s="132">
        <f t="shared" si="18"/>
        <v>94</v>
      </c>
      <c r="J103" s="844"/>
    </row>
    <row r="104" spans="1:10">
      <c r="A104" s="132">
        <f t="shared" si="14"/>
        <v>95</v>
      </c>
      <c r="B104" s="832" t="s">
        <v>656</v>
      </c>
      <c r="C104" s="839">
        <v>2024</v>
      </c>
      <c r="D104" s="835"/>
      <c r="E104" s="834">
        <v>7.0000000000000001E-3</v>
      </c>
      <c r="F104" s="1003">
        <f t="shared" si="15"/>
        <v>2.1989639210393395</v>
      </c>
      <c r="G104" s="998">
        <f t="shared" si="16"/>
        <v>1.5392747447275376E-2</v>
      </c>
      <c r="H104" s="1004">
        <f t="shared" si="17"/>
        <v>2.2143566684866149</v>
      </c>
      <c r="I104" s="132">
        <f t="shared" si="18"/>
        <v>95</v>
      </c>
      <c r="J104" s="844"/>
    </row>
    <row r="105" spans="1:10">
      <c r="A105" s="132">
        <f t="shared" si="14"/>
        <v>96</v>
      </c>
      <c r="B105" s="832" t="s">
        <v>657</v>
      </c>
      <c r="C105" s="839">
        <v>2024</v>
      </c>
      <c r="D105" s="835"/>
      <c r="E105" s="834">
        <v>7.1999999999999998E-3</v>
      </c>
      <c r="F105" s="1003">
        <f t="shared" si="15"/>
        <v>2.2143566684866149</v>
      </c>
      <c r="G105" s="998">
        <f t="shared" si="16"/>
        <v>1.5943368013103629E-2</v>
      </c>
      <c r="H105" s="1004">
        <f t="shared" si="17"/>
        <v>2.2303000364997185</v>
      </c>
      <c r="I105" s="132">
        <f t="shared" si="18"/>
        <v>96</v>
      </c>
      <c r="J105" s="844"/>
    </row>
    <row r="106" spans="1:10">
      <c r="A106" s="132">
        <f t="shared" si="14"/>
        <v>97</v>
      </c>
      <c r="B106" s="832" t="s">
        <v>658</v>
      </c>
      <c r="C106" s="839">
        <v>2024</v>
      </c>
      <c r="D106" s="915"/>
      <c r="E106" s="834">
        <v>7.0000000000000001E-3</v>
      </c>
      <c r="F106" s="1003">
        <f>H105+D106</f>
        <v>2.2303000364997185</v>
      </c>
      <c r="G106" s="1005">
        <f>(H105+F106)/2*E106</f>
        <v>1.5612100255498029E-2</v>
      </c>
      <c r="H106" s="1004">
        <f t="shared" si="17"/>
        <v>2.2459121367552166</v>
      </c>
      <c r="I106" s="132">
        <f t="shared" si="18"/>
        <v>97</v>
      </c>
      <c r="J106" s="844"/>
    </row>
    <row r="107" spans="1:10">
      <c r="A107" s="132">
        <f t="shared" si="14"/>
        <v>98</v>
      </c>
      <c r="B107" s="832" t="s">
        <v>659</v>
      </c>
      <c r="C107" s="839">
        <v>2024</v>
      </c>
      <c r="D107" s="835"/>
      <c r="E107" s="834">
        <v>7.1999999999999998E-3</v>
      </c>
      <c r="F107" s="1003">
        <f t="shared" ref="F107:F112" si="19">H106+D107</f>
        <v>2.2459121367552166</v>
      </c>
      <c r="G107" s="1005">
        <f t="shared" ref="G107:G112" si="20">(H106+F107)/2*E107</f>
        <v>1.6170567384637558E-2</v>
      </c>
      <c r="H107" s="1004">
        <f t="shared" si="17"/>
        <v>2.2620827041398543</v>
      </c>
      <c r="I107" s="132">
        <f t="shared" si="18"/>
        <v>98</v>
      </c>
      <c r="J107" s="844"/>
    </row>
    <row r="108" spans="1:10">
      <c r="A108" s="132">
        <f t="shared" si="14"/>
        <v>99</v>
      </c>
      <c r="B108" s="832" t="s">
        <v>660</v>
      </c>
      <c r="C108" s="839">
        <v>2024</v>
      </c>
      <c r="D108" s="835"/>
      <c r="E108" s="834">
        <v>7.1999999999999998E-3</v>
      </c>
      <c r="F108" s="1003">
        <f t="shared" si="19"/>
        <v>2.2620827041398543</v>
      </c>
      <c r="G108" s="1005">
        <f t="shared" si="20"/>
        <v>1.6286995469806952E-2</v>
      </c>
      <c r="H108" s="1004">
        <f t="shared" si="17"/>
        <v>2.2783696996096614</v>
      </c>
      <c r="I108" s="132">
        <f t="shared" si="18"/>
        <v>99</v>
      </c>
      <c r="J108" s="844"/>
    </row>
    <row r="109" spans="1:10">
      <c r="A109" s="132">
        <f t="shared" si="14"/>
        <v>100</v>
      </c>
      <c r="B109" s="832" t="s">
        <v>661</v>
      </c>
      <c r="C109" s="839">
        <v>2024</v>
      </c>
      <c r="D109" s="835"/>
      <c r="E109" s="834">
        <v>7.0000000000000001E-3</v>
      </c>
      <c r="F109" s="1003">
        <f t="shared" si="19"/>
        <v>2.2783696996096614</v>
      </c>
      <c r="G109" s="1005">
        <f t="shared" si="20"/>
        <v>1.5948587897267628E-2</v>
      </c>
      <c r="H109" s="1004">
        <f t="shared" si="17"/>
        <v>2.294318287506929</v>
      </c>
      <c r="I109" s="132">
        <f t="shared" si="18"/>
        <v>100</v>
      </c>
      <c r="J109" s="844"/>
    </row>
    <row r="110" spans="1:10">
      <c r="A110" s="132">
        <f t="shared" si="14"/>
        <v>101</v>
      </c>
      <c r="B110" s="832" t="s">
        <v>662</v>
      </c>
      <c r="C110" s="839">
        <v>2024</v>
      </c>
      <c r="D110" s="835"/>
      <c r="E110" s="916">
        <v>7.0000000000000001E-3</v>
      </c>
      <c r="F110" s="1003">
        <f t="shared" si="19"/>
        <v>2.294318287506929</v>
      </c>
      <c r="G110" s="1005">
        <f t="shared" si="20"/>
        <v>1.6060228012548503E-2</v>
      </c>
      <c r="H110" s="1004">
        <f t="shared" si="17"/>
        <v>2.3103785155194774</v>
      </c>
      <c r="I110" s="132">
        <f t="shared" si="18"/>
        <v>101</v>
      </c>
      <c r="J110" s="844"/>
    </row>
    <row r="111" spans="1:10">
      <c r="A111" s="132">
        <f t="shared" si="14"/>
        <v>102</v>
      </c>
      <c r="B111" s="832" t="s">
        <v>663</v>
      </c>
      <c r="C111" s="839">
        <v>2024</v>
      </c>
      <c r="D111" s="835"/>
      <c r="E111" s="916">
        <v>7.0000000000000001E-3</v>
      </c>
      <c r="F111" s="1003">
        <f t="shared" si="19"/>
        <v>2.3103785155194774</v>
      </c>
      <c r="G111" s="1005">
        <f t="shared" si="20"/>
        <v>1.6172649608636343E-2</v>
      </c>
      <c r="H111" s="1004">
        <f t="shared" si="17"/>
        <v>2.3265511651281137</v>
      </c>
      <c r="I111" s="132">
        <f t="shared" si="18"/>
        <v>102</v>
      </c>
      <c r="J111" s="844"/>
    </row>
    <row r="112" spans="1:10">
      <c r="A112" s="132">
        <f t="shared" si="14"/>
        <v>103</v>
      </c>
      <c r="B112" s="836" t="s">
        <v>664</v>
      </c>
      <c r="C112" s="846">
        <v>2024</v>
      </c>
      <c r="D112" s="917"/>
      <c r="E112" s="918">
        <v>7.0000000000000001E-3</v>
      </c>
      <c r="F112" s="999">
        <f t="shared" si="19"/>
        <v>2.3265511651281137</v>
      </c>
      <c r="G112" s="1000">
        <f t="shared" si="20"/>
        <v>1.6285858155896796E-2</v>
      </c>
      <c r="H112" s="1006">
        <f t="shared" si="17"/>
        <v>2.3428370232840106</v>
      </c>
      <c r="I112" s="132">
        <f t="shared" si="18"/>
        <v>103</v>
      </c>
      <c r="J112" s="844"/>
    </row>
    <row r="113" spans="1:9" ht="16" thickBot="1">
      <c r="A113" s="132">
        <f t="shared" si="14"/>
        <v>104</v>
      </c>
      <c r="D113" s="990">
        <f>SUM(D17:D112)</f>
        <v>1.5840737045400599</v>
      </c>
      <c r="E113" s="849"/>
      <c r="F113" s="850"/>
      <c r="G113" s="989">
        <f>SUM(G17:G112)</f>
        <v>0.75876331874395031</v>
      </c>
      <c r="H113" s="851"/>
      <c r="I113" s="132">
        <f t="shared" si="18"/>
        <v>104</v>
      </c>
    </row>
    <row r="114" spans="1:9" ht="16" thickTop="1">
      <c r="A114" s="132"/>
      <c r="D114" s="988"/>
      <c r="E114" s="849"/>
      <c r="F114" s="850"/>
      <c r="G114" s="761"/>
      <c r="H114" s="851"/>
      <c r="I114" s="132"/>
    </row>
    <row r="115" spans="1:9">
      <c r="D115" s="852"/>
      <c r="E115" s="852"/>
      <c r="F115" s="852"/>
      <c r="G115" s="853"/>
      <c r="H115" s="853"/>
    </row>
    <row r="116" spans="1:9" ht="18">
      <c r="A116" s="854">
        <v>1</v>
      </c>
      <c r="B116" s="116" t="s">
        <v>665</v>
      </c>
      <c r="C116" s="118"/>
    </row>
    <row r="117" spans="1:9" ht="18">
      <c r="A117" s="854">
        <v>2</v>
      </c>
      <c r="B117" s="116" t="s">
        <v>666</v>
      </c>
    </row>
    <row r="118" spans="1:9" ht="18">
      <c r="A118" s="854">
        <v>3</v>
      </c>
      <c r="B118" s="116" t="s">
        <v>667</v>
      </c>
    </row>
    <row r="119" spans="1:9">
      <c r="B119" s="116" t="s">
        <v>668</v>
      </c>
    </row>
    <row r="120" spans="1:9">
      <c r="A120" s="855"/>
      <c r="B120" s="856" t="s">
        <v>669</v>
      </c>
      <c r="C120" s="856"/>
    </row>
    <row r="121" spans="1:9">
      <c r="A121" s="966"/>
      <c r="B121" s="967" t="s">
        <v>771</v>
      </c>
      <c r="C121" s="967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5" right="0.5" top="0.5" bottom="0.5" header="0.25" footer="0.25"/>
  <pageSetup scale="60" fitToWidth="2" fitToHeight="2" orientation="portrait" r:id="rId1"/>
  <headerFooter scaleWithDoc="0" alignWithMargins="0">
    <oddFooter>&amp;L&amp;F&amp;CPage 15.&amp;P&amp;R&amp;A</oddFooter>
  </headerFooter>
  <rowBreaks count="1" manualBreakCount="1"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E63E6-4488-4CD6-9BF4-E52BA78A7629}">
  <ds:schemaRefs>
    <ds:schemaRef ds:uri="d3533485-01ac-4c85-a144-d07c02817ce0"/>
    <ds:schemaRef ds:uri="http://purl.org/dc/terms/"/>
    <ds:schemaRef ds:uri="http://schemas.microsoft.com/office/infopath/2007/PartnerControls"/>
    <ds:schemaRef ds:uri="http://purl.org/dc/elements/1.1/"/>
    <ds:schemaRef ds:uri="6fc4548d-ff52-42f9-a254-3bffe515715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CDBF22-A9D7-4F8A-B3EB-11BF79688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9BF00-8E2E-4B85-9CF2-705457C95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11</vt:i4>
      </vt:variant>
    </vt:vector>
  </HeadingPairs>
  <TitlesOfParts>
    <vt:vector size="32" baseType="lpstr">
      <vt:lpstr>Pg1 App X C7 Cost Adj</vt:lpstr>
      <vt:lpstr>Pg2 App X C7 Comparison</vt:lpstr>
      <vt:lpstr>Pg3 Rev App X C7 Summary</vt:lpstr>
      <vt:lpstr>Pg4 As Filed App X C7 FERC Adj </vt:lpstr>
      <vt:lpstr>Pg5 Rev Sec 2 Non-Direct Exp</vt:lpstr>
      <vt:lpstr>Pg6 As Filed Sec 2 Non-Dir Exp </vt:lpstr>
      <vt:lpstr>Pg7 Rev Sec 4a-TU</vt:lpstr>
      <vt:lpstr>Pg7.1 As Filed Sec 4a-TU FERC</vt:lpstr>
      <vt:lpstr>Pg8 Rev Sec 4b-TU COS</vt:lpstr>
      <vt:lpstr>Pg8.1 As Filed Sec 4b-TU FERC</vt:lpstr>
      <vt:lpstr>Pg9 Rev Stmt AH</vt:lpstr>
      <vt:lpstr>Pg9.1 As Filed Stmt AH FERC Adj</vt:lpstr>
      <vt:lpstr>Pg9.2 Rev AH-3</vt:lpstr>
      <vt:lpstr>Pg9.3 As Filed AH-3 FERC Adj</vt:lpstr>
      <vt:lpstr>Pg10 Rev Stmt AL</vt:lpstr>
      <vt:lpstr>Pg10.1 As Filed Stmt AL FERC</vt:lpstr>
      <vt:lpstr>Pg11 Rev Stmt AV</vt:lpstr>
      <vt:lpstr>Pg12 As Filed Stmt AV FERC Adj</vt:lpstr>
      <vt:lpstr>Pg13 Rev AV-4</vt:lpstr>
      <vt:lpstr>Pg14 As Filed AV-4 FERC Adj</vt:lpstr>
      <vt:lpstr>Pg15 App X C7 Int Calc</vt:lpstr>
      <vt:lpstr>'Pg10.1 As Filed Stmt AL FERC'!Print_Area</vt:lpstr>
      <vt:lpstr>'Pg12 As Filed Stmt AV FERC Adj'!Print_Area</vt:lpstr>
      <vt:lpstr>'Pg14 As Filed AV-4 FERC Adj'!Print_Area</vt:lpstr>
      <vt:lpstr>'Pg4 As Filed App X C7 FERC Adj '!Print_Area</vt:lpstr>
      <vt:lpstr>'Pg6 As Filed Sec 2 Non-Dir Exp '!Print_Area</vt:lpstr>
      <vt:lpstr>'Pg7.1 As Filed Sec 4a-TU FERC'!Print_Area</vt:lpstr>
      <vt:lpstr>'Pg8.1 As Filed Sec 4b-TU FERC'!Print_Area</vt:lpstr>
      <vt:lpstr>'Pg9.1 As Filed Stmt AH FERC Adj'!Print_Area</vt:lpstr>
      <vt:lpstr>'Pg9.2 Rev AH-3'!Print_Area</vt:lpstr>
      <vt:lpstr>'Pg9.3 As Filed AH-3 FERC Adj'!Print_Area</vt:lpstr>
      <vt:lpstr>'Pg15 App X C7 Int Calc'!Print_Titles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2024-06-06T16:20:43Z</cp:lastPrinted>
  <dcterms:created xsi:type="dcterms:W3CDTF">2016-08-29T13:22:03Z</dcterms:created>
  <dcterms:modified xsi:type="dcterms:W3CDTF">2024-07-02T21:50:58Z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01B7-C5EB-2297-0074</vt:lpwstr>
  </property>
  <property fmtid="{D5CDD505-2E9C-101B-9397-08002B2CF9AE}" pid="3" name="LINKTEK-ID-LINK=1">
    <vt:lpwstr>0199-919D-8C7B-EB83|/2018/Citizens/Sunrise/Appendix X Cycle 7 Filing/App X C7 Annual Filing - Model.xlsx</vt:lpwstr>
  </property>
  <property fmtid="{D5CDD505-2E9C-101B-9397-08002B2CF9AE}" pid="4" name="ContentTypeId">
    <vt:lpwstr>0x01010020AF033832634A47ACBF5D0BC7D2D682</vt:lpwstr>
  </property>
  <property fmtid="{D5CDD505-2E9C-101B-9397-08002B2CF9AE}" pid="5" name="Order">
    <vt:r8>79600</vt:r8>
  </property>
  <property fmtid="{D5CDD505-2E9C-101B-9397-08002B2CF9AE}" pid="6" name="MediaServiceImageTags">
    <vt:lpwstr/>
  </property>
</Properties>
</file>