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unrise/Cycle 12 Annual Filing/Sunrise Cycle 12 Oct Filing/Revised Sunrise Cost Adj Workpapers/"/>
    </mc:Choice>
  </mc:AlternateContent>
  <xr:revisionPtr revIDLastSave="269" documentId="8_{EF1DC16C-8F8D-4CA6-9F01-E6DAF36F6DEA}" xr6:coauthVersionLast="47" xr6:coauthVersionMax="47" xr10:uidLastSave="{016C3613-9BFE-49EA-8282-DBA81C5F160D}"/>
  <bookViews>
    <workbookView xWindow="-120" yWindow="-120" windowWidth="29040" windowHeight="15840" xr2:uid="{A1AA674E-836A-4CFE-B14F-C8BAAC5651C2}"/>
  </bookViews>
  <sheets>
    <sheet name="Pg1 Appendix X C10 Cost Adj" sheetId="1" r:id="rId1"/>
    <sheet name="Pg2 Appendix X C10 Comparison" sheetId="16" r:id="rId2"/>
    <sheet name="Pg3 Rev App. X C10" sheetId="15" r:id="rId3"/>
    <sheet name="Pg4 App.X C10-Cost Adj" sheetId="34" r:id="rId4"/>
    <sheet name="Pg4.1 As Filed-Orig. App X C10" sheetId="14" r:id="rId5"/>
    <sheet name="Pg5 Rev Sec.2-Non-Direct Exp" sheetId="13" r:id="rId6"/>
    <sheet name="Pg6 As Filed Sec.2-Cost Adj" sheetId="27" r:id="rId7"/>
    <sheet name="Pg7 Rev Sec.4-TU" sheetId="12" r:id="rId8"/>
    <sheet name="Pg7.1 As Filed Sec.4-Cost Adj" sheetId="45" r:id="rId9"/>
    <sheet name="Pg8 Rev Stmt AH" sheetId="19" r:id="rId10"/>
    <sheet name="Pg8.1 As Filed-Stmt AH-Cost Adj" sheetId="32" r:id="rId11"/>
    <sheet name="Pg8.2 Rev AH-3" sheetId="18" r:id="rId12"/>
    <sheet name="Pg8.3 As Filed-AH-3-Cost Adj " sheetId="31" r:id="rId13"/>
    <sheet name="Pg9 Rev Stmt AL" sheetId="17" r:id="rId14"/>
    <sheet name="Pg9.1 As Filed-Smt AL-Cost Adj" sheetId="33" r:id="rId15"/>
    <sheet name="Pg10 Rev Stmt AV" sheetId="11" r:id="rId16"/>
    <sheet name="Pg11 As Filed Stmt AV-Cost Adj" sheetId="29" r:id="rId17"/>
    <sheet name="Pg12 Rev AV-4" sheetId="21" r:id="rId18"/>
    <sheet name="Pg13 As Filed AV-4 Cost Adj" sheetId="30" r:id="rId19"/>
    <sheet name="Pg14 Appendix X C10 Int Calc" sheetId="26" r:id="rId20"/>
  </sheets>
  <definedNames>
    <definedName name="_xlnm.Print_Area" localSheetId="16">'Pg11 As Filed Stmt AV-Cost Adj'!$A$2:$J$158</definedName>
    <definedName name="_xlnm.Print_Area" localSheetId="18">'Pg13 As Filed AV-4 Cost Adj'!$A$2:$F$88</definedName>
    <definedName name="_xlnm.Print_Area" localSheetId="3">'Pg4 App.X C10-Cost Adj'!$A$2:$F$57</definedName>
    <definedName name="_xlnm.Print_Area" localSheetId="4">'Pg4.1 As Filed-Orig. App X C10'!$A$2:$E$54</definedName>
    <definedName name="_xlnm.Print_Area" localSheetId="6">'Pg6 As Filed Sec.2-Cost Adj'!$A$2:$H$106</definedName>
    <definedName name="_xlnm.Print_Area" localSheetId="8">'Pg7.1 As Filed Sec.4-Cost Adj'!$A$2:$P$44</definedName>
    <definedName name="_xlnm.Print_Area" localSheetId="10">'Pg8.1 As Filed-Stmt AH-Cost Adj'!$A$2:$H$74</definedName>
    <definedName name="_xlnm.Print_Area" localSheetId="11">'Pg8.2 Rev AH-3'!$A$1:$P$98</definedName>
    <definedName name="_xlnm.Print_Area" localSheetId="12">'Pg8.3 As Filed-AH-3-Cost Adj '!$A$2:$M$83</definedName>
    <definedName name="_xlnm.Print_Area" localSheetId="14">'Pg9.1 As Filed-Smt AL-Cost Adj'!$A$2:$J$36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4" i="18" l="1"/>
  <c r="P73" i="18" l="1"/>
  <c r="P74" i="18"/>
  <c r="P75" i="18" s="1"/>
  <c r="A73" i="18"/>
  <c r="A74" i="18" s="1"/>
  <c r="A75" i="18" s="1"/>
  <c r="A76" i="18" s="1"/>
  <c r="A54" i="18"/>
  <c r="A55" i="18" s="1"/>
  <c r="A56" i="18" s="1"/>
  <c r="A57" i="18" s="1"/>
  <c r="A58" i="18" s="1"/>
  <c r="A44" i="18"/>
  <c r="A45" i="18" s="1"/>
  <c r="A46" i="18" s="1"/>
  <c r="A47" i="18" s="1"/>
  <c r="A48" i="18" s="1"/>
  <c r="P54" i="18"/>
  <c r="P55" i="18" s="1"/>
  <c r="P44" i="18"/>
  <c r="P45" i="18" s="1"/>
  <c r="P46" i="18" s="1"/>
  <c r="L63" i="18"/>
  <c r="L59" i="18"/>
  <c r="L55" i="18"/>
  <c r="L45" i="18"/>
  <c r="L40" i="18"/>
  <c r="L19" i="18" l="1"/>
  <c r="L18" i="18"/>
  <c r="L16" i="18"/>
  <c r="L14" i="18"/>
  <c r="L13" i="18"/>
  <c r="L11" i="18"/>
  <c r="E51" i="16" l="1"/>
  <c r="E47" i="16" l="1"/>
  <c r="E45" i="16"/>
  <c r="E43" i="16"/>
  <c r="E39" i="16"/>
  <c r="E37" i="16"/>
  <c r="E35" i="16"/>
  <c r="E26" i="16"/>
  <c r="E22" i="16"/>
  <c r="E20" i="16"/>
  <c r="E16" i="16"/>
  <c r="E14" i="16"/>
  <c r="E12" i="16"/>
  <c r="B53" i="34" l="1"/>
  <c r="C47" i="34"/>
  <c r="B47" i="34"/>
  <c r="C45" i="34"/>
  <c r="B45" i="34"/>
  <c r="B43" i="34"/>
  <c r="B39" i="34"/>
  <c r="B37" i="34"/>
  <c r="E35" i="34"/>
  <c r="C35" i="34"/>
  <c r="B35" i="34"/>
  <c r="E33" i="34"/>
  <c r="C33" i="34"/>
  <c r="C43" i="34"/>
  <c r="C39" i="34"/>
  <c r="C37" i="34"/>
  <c r="A13" i="34"/>
  <c r="A14" i="34" s="1"/>
  <c r="F12" i="34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F25" i="34" s="1"/>
  <c r="F26" i="34" s="1"/>
  <c r="F27" i="34" s="1"/>
  <c r="F28" i="34" s="1"/>
  <c r="F29" i="34" s="1"/>
  <c r="F34" i="34" s="1"/>
  <c r="F35" i="34" s="1"/>
  <c r="F36" i="34" s="1"/>
  <c r="F37" i="34" s="1"/>
  <c r="F38" i="34" s="1"/>
  <c r="F39" i="34" s="1"/>
  <c r="F40" i="34" s="1"/>
  <c r="F41" i="34" s="1"/>
  <c r="F42" i="34" s="1"/>
  <c r="F43" i="34" s="1"/>
  <c r="F44" i="34" s="1"/>
  <c r="F45" i="34" s="1"/>
  <c r="F46" i="34" s="1"/>
  <c r="F47" i="34" s="1"/>
  <c r="F48" i="34" s="1"/>
  <c r="F49" i="34" s="1"/>
  <c r="F50" i="34" s="1"/>
  <c r="F51" i="34" s="1"/>
  <c r="F52" i="34" s="1"/>
  <c r="F53" i="34" s="1"/>
  <c r="F54" i="34" s="1"/>
  <c r="E28" i="33"/>
  <c r="E26" i="33"/>
  <c r="E30" i="33" s="1"/>
  <c r="G20" i="33"/>
  <c r="G16" i="33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J12" i="33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L79" i="18"/>
  <c r="A15" i="34" l="1"/>
  <c r="A16" i="34" s="1"/>
  <c r="E37" i="34"/>
  <c r="C18" i="34"/>
  <c r="L18" i="31"/>
  <c r="L19" i="31" s="1"/>
  <c r="A18" i="31"/>
  <c r="A19" i="31" s="1"/>
  <c r="E60" i="32"/>
  <c r="E68" i="32" s="1"/>
  <c r="E58" i="32"/>
  <c r="E28" i="32"/>
  <c r="A13" i="32"/>
  <c r="A14" i="32" s="1"/>
  <c r="A15" i="32" s="1"/>
  <c r="A16" i="32" s="1"/>
  <c r="H12" i="32"/>
  <c r="H13" i="32" s="1"/>
  <c r="H14" i="32" s="1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H70" i="32" s="1"/>
  <c r="E92" i="27"/>
  <c r="E94" i="27"/>
  <c r="E57" i="27"/>
  <c r="E13" i="27" s="1"/>
  <c r="A53" i="27"/>
  <c r="A54" i="27" s="1"/>
  <c r="A55" i="27" s="1"/>
  <c r="A56" i="27" s="1"/>
  <c r="A57" i="27" s="1"/>
  <c r="H52" i="27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H99" i="27" s="1"/>
  <c r="H100" i="27" s="1"/>
  <c r="H101" i="27" s="1"/>
  <c r="H102" i="27" s="1"/>
  <c r="B47" i="27"/>
  <c r="B46" i="27"/>
  <c r="B45" i="27"/>
  <c r="B44" i="27"/>
  <c r="B43" i="27"/>
  <c r="B106" i="27"/>
  <c r="B105" i="27"/>
  <c r="A13" i="27"/>
  <c r="H12" i="27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F88" i="30"/>
  <c r="C88" i="30"/>
  <c r="F87" i="30"/>
  <c r="F86" i="30"/>
  <c r="F85" i="30"/>
  <c r="F84" i="30"/>
  <c r="F83" i="30"/>
  <c r="F82" i="30"/>
  <c r="C82" i="30"/>
  <c r="C16" i="30" s="1"/>
  <c r="F81" i="30"/>
  <c r="C81" i="30"/>
  <c r="F80" i="30"/>
  <c r="C80" i="30"/>
  <c r="C14" i="30" s="1"/>
  <c r="F79" i="30"/>
  <c r="C79" i="30"/>
  <c r="F78" i="30"/>
  <c r="F77" i="30"/>
  <c r="F76" i="30"/>
  <c r="C76" i="30"/>
  <c r="F75" i="30"/>
  <c r="F74" i="30"/>
  <c r="F73" i="30"/>
  <c r="F72" i="30"/>
  <c r="F71" i="30"/>
  <c r="F70" i="30"/>
  <c r="F69" i="30"/>
  <c r="C69" i="30"/>
  <c r="F68" i="30"/>
  <c r="F67" i="30"/>
  <c r="F66" i="30"/>
  <c r="F65" i="30"/>
  <c r="F64" i="30"/>
  <c r="B57" i="30"/>
  <c r="B56" i="30"/>
  <c r="B55" i="30"/>
  <c r="C47" i="30"/>
  <c r="C42" i="30"/>
  <c r="C33" i="30"/>
  <c r="C27" i="30"/>
  <c r="C22" i="30"/>
  <c r="C15" i="30"/>
  <c r="A14" i="30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C13" i="30"/>
  <c r="A13" i="30"/>
  <c r="F12" i="30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G149" i="29"/>
  <c r="B149" i="29"/>
  <c r="B148" i="29"/>
  <c r="G147" i="29"/>
  <c r="G146" i="29"/>
  <c r="B146" i="29"/>
  <c r="B145" i="29"/>
  <c r="G137" i="29"/>
  <c r="B137" i="29"/>
  <c r="B134" i="29"/>
  <c r="B133" i="29"/>
  <c r="J129" i="29"/>
  <c r="J130" i="29" s="1"/>
  <c r="J131" i="29" s="1"/>
  <c r="J132" i="29" s="1"/>
  <c r="J133" i="29" s="1"/>
  <c r="J134" i="29" s="1"/>
  <c r="J135" i="29" s="1"/>
  <c r="J136" i="29" s="1"/>
  <c r="J137" i="29" s="1"/>
  <c r="J138" i="29" s="1"/>
  <c r="J139" i="29" s="1"/>
  <c r="J140" i="29" s="1"/>
  <c r="J141" i="29" s="1"/>
  <c r="J142" i="29" s="1"/>
  <c r="J143" i="29" s="1"/>
  <c r="J144" i="29" s="1"/>
  <c r="J145" i="29" s="1"/>
  <c r="J146" i="29" s="1"/>
  <c r="J147" i="29" s="1"/>
  <c r="J148" i="29" s="1"/>
  <c r="J149" i="29" s="1"/>
  <c r="J150" i="29" s="1"/>
  <c r="J151" i="29" s="1"/>
  <c r="J152" i="29" s="1"/>
  <c r="J153" i="29" s="1"/>
  <c r="J154" i="29" s="1"/>
  <c r="J155" i="29" s="1"/>
  <c r="J156" i="29" s="1"/>
  <c r="J157" i="29" s="1"/>
  <c r="J158" i="29" s="1"/>
  <c r="A129" i="29"/>
  <c r="A130" i="29" s="1"/>
  <c r="A131" i="29" s="1"/>
  <c r="A132" i="29" s="1"/>
  <c r="A133" i="29" s="1"/>
  <c r="B122" i="29"/>
  <c r="G100" i="29"/>
  <c r="G99" i="29"/>
  <c r="J82" i="29"/>
  <c r="J83" i="29" s="1"/>
  <c r="J84" i="29" s="1"/>
  <c r="J85" i="29" s="1"/>
  <c r="J86" i="29" s="1"/>
  <c r="J87" i="29" s="1"/>
  <c r="J88" i="29" s="1"/>
  <c r="J89" i="29" s="1"/>
  <c r="J90" i="29" s="1"/>
  <c r="J91" i="29" s="1"/>
  <c r="J92" i="29" s="1"/>
  <c r="J93" i="29" s="1"/>
  <c r="J94" i="29" s="1"/>
  <c r="J95" i="29" s="1"/>
  <c r="J96" i="29" s="1"/>
  <c r="J97" i="29" s="1"/>
  <c r="J98" i="29" s="1"/>
  <c r="J99" i="29" s="1"/>
  <c r="J100" i="29" s="1"/>
  <c r="J101" i="29" s="1"/>
  <c r="J102" i="29" s="1"/>
  <c r="J103" i="29" s="1"/>
  <c r="J104" i="29" s="1"/>
  <c r="J105" i="29" s="1"/>
  <c r="J106" i="29" s="1"/>
  <c r="J107" i="29" s="1"/>
  <c r="J108" i="29" s="1"/>
  <c r="J109" i="29" s="1"/>
  <c r="J110" i="29" s="1"/>
  <c r="J111" i="29" s="1"/>
  <c r="A82" i="29"/>
  <c r="A83" i="29" s="1"/>
  <c r="A84" i="29" s="1"/>
  <c r="A85" i="29" s="1"/>
  <c r="A86" i="29" s="1"/>
  <c r="B75" i="29"/>
  <c r="D64" i="29"/>
  <c r="C64" i="29"/>
  <c r="G63" i="29"/>
  <c r="G66" i="29" s="1"/>
  <c r="G133" i="29" s="1"/>
  <c r="G62" i="29"/>
  <c r="G61" i="29"/>
  <c r="E50" i="29"/>
  <c r="C49" i="29"/>
  <c r="G40" i="29"/>
  <c r="C50" i="29" s="1"/>
  <c r="G33" i="29"/>
  <c r="E49" i="29" s="1"/>
  <c r="G26" i="29"/>
  <c r="G18" i="29"/>
  <c r="C48" i="29" s="1"/>
  <c r="A13" i="29"/>
  <c r="A14" i="29" s="1"/>
  <c r="A15" i="29" s="1"/>
  <c r="A16" i="29" s="1"/>
  <c r="A17" i="29" s="1"/>
  <c r="A18" i="29" s="1"/>
  <c r="A19" i="29" s="1"/>
  <c r="A20" i="29" s="1"/>
  <c r="A21" i="29" s="1"/>
  <c r="J12" i="29"/>
  <c r="J13" i="29" s="1"/>
  <c r="J14" i="29" s="1"/>
  <c r="J15" i="29" s="1"/>
  <c r="J16" i="29" s="1"/>
  <c r="J17" i="29" s="1"/>
  <c r="J18" i="29" s="1"/>
  <c r="J19" i="29" s="1"/>
  <c r="J20" i="29" s="1"/>
  <c r="J21" i="29" s="1"/>
  <c r="J22" i="29" s="1"/>
  <c r="J23" i="29" s="1"/>
  <c r="J24" i="29" s="1"/>
  <c r="J25" i="29" s="1"/>
  <c r="J26" i="29" s="1"/>
  <c r="J27" i="29" s="1"/>
  <c r="J28" i="29" s="1"/>
  <c r="J29" i="29" s="1"/>
  <c r="J30" i="29" s="1"/>
  <c r="J31" i="29" s="1"/>
  <c r="J32" i="29" s="1"/>
  <c r="J33" i="29" s="1"/>
  <c r="J34" i="29" s="1"/>
  <c r="J35" i="29" s="1"/>
  <c r="J36" i="29" s="1"/>
  <c r="J37" i="29" s="1"/>
  <c r="J38" i="29" s="1"/>
  <c r="J39" i="29" s="1"/>
  <c r="J40" i="29" s="1"/>
  <c r="J41" i="29" s="1"/>
  <c r="J42" i="29" s="1"/>
  <c r="J43" i="29" s="1"/>
  <c r="J44" i="29" s="1"/>
  <c r="J45" i="29" s="1"/>
  <c r="J46" i="29" s="1"/>
  <c r="J47" i="29" s="1"/>
  <c r="J48" i="29" s="1"/>
  <c r="J49" i="29" s="1"/>
  <c r="J50" i="29" s="1"/>
  <c r="J51" i="29" s="1"/>
  <c r="J52" i="29" s="1"/>
  <c r="J53" i="29" s="1"/>
  <c r="J54" i="29" s="1"/>
  <c r="J55" i="29" s="1"/>
  <c r="J56" i="29" s="1"/>
  <c r="J57" i="29" s="1"/>
  <c r="J58" i="29" s="1"/>
  <c r="J59" i="29" s="1"/>
  <c r="J60" i="29" s="1"/>
  <c r="J61" i="29" s="1"/>
  <c r="J62" i="29" s="1"/>
  <c r="J63" i="29" s="1"/>
  <c r="J64" i="29" s="1"/>
  <c r="J65" i="29" s="1"/>
  <c r="J66" i="29" s="1"/>
  <c r="E70" i="32" l="1"/>
  <c r="G28" i="29"/>
  <c r="E48" i="29" s="1"/>
  <c r="E79" i="27"/>
  <c r="E83" i="27" s="1"/>
  <c r="E85" i="27" s="1"/>
  <c r="E21" i="27" s="1"/>
  <c r="C41" i="34"/>
  <c r="C24" i="34"/>
  <c r="E39" i="34"/>
  <c r="A17" i="34"/>
  <c r="A18" i="34" s="1"/>
  <c r="A19" i="34" s="1"/>
  <c r="A20" i="34" s="1"/>
  <c r="E45" i="32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E62" i="27"/>
  <c r="E15" i="27" s="1"/>
  <c r="A58" i="27"/>
  <c r="A59" i="27" s="1"/>
  <c r="A60" i="27" s="1"/>
  <c r="A61" i="27" s="1"/>
  <c r="A62" i="27" s="1"/>
  <c r="G13" i="27"/>
  <c r="E96" i="27"/>
  <c r="E100" i="27" s="1"/>
  <c r="E102" i="27" s="1"/>
  <c r="E23" i="27" s="1"/>
  <c r="E67" i="27"/>
  <c r="E17" i="27" s="1"/>
  <c r="E72" i="27"/>
  <c r="E19" i="27" s="1"/>
  <c r="C83" i="30"/>
  <c r="C17" i="30"/>
  <c r="C37" i="30" s="1"/>
  <c r="G64" i="29"/>
  <c r="G156" i="29" s="1"/>
  <c r="A22" i="29"/>
  <c r="A23" i="29" s="1"/>
  <c r="A24" i="29" s="1"/>
  <c r="A25" i="29" s="1"/>
  <c r="A26" i="29" s="1"/>
  <c r="A134" i="29"/>
  <c r="A135" i="29" s="1"/>
  <c r="I145" i="29"/>
  <c r="A87" i="29"/>
  <c r="A88" i="29" s="1"/>
  <c r="I98" i="29"/>
  <c r="I18" i="29"/>
  <c r="G145" i="29"/>
  <c r="G139" i="29"/>
  <c r="G148" i="29" s="1"/>
  <c r="C51" i="29"/>
  <c r="D48" i="29" s="1"/>
  <c r="G31" i="45"/>
  <c r="F31" i="45"/>
  <c r="E31" i="45"/>
  <c r="G30" i="45"/>
  <c r="F30" i="45"/>
  <c r="E30" i="45"/>
  <c r="H30" i="45" s="1"/>
  <c r="G29" i="45"/>
  <c r="F29" i="45"/>
  <c r="E29" i="45"/>
  <c r="G28" i="45"/>
  <c r="F28" i="45"/>
  <c r="E28" i="45"/>
  <c r="H28" i="45" s="1"/>
  <c r="D28" i="45"/>
  <c r="G27" i="45"/>
  <c r="H27" i="45" s="1"/>
  <c r="F27" i="45"/>
  <c r="E27" i="45"/>
  <c r="G26" i="45"/>
  <c r="F26" i="45"/>
  <c r="E26" i="45"/>
  <c r="H26" i="45" s="1"/>
  <c r="D26" i="45"/>
  <c r="I26" i="45" s="1"/>
  <c r="G25" i="45"/>
  <c r="H25" i="45" s="1"/>
  <c r="F25" i="45"/>
  <c r="E25" i="45"/>
  <c r="G24" i="45"/>
  <c r="F24" i="45"/>
  <c r="E24" i="45"/>
  <c r="H24" i="45" s="1"/>
  <c r="D24" i="45"/>
  <c r="I24" i="45" s="1"/>
  <c r="G23" i="45"/>
  <c r="F23" i="45"/>
  <c r="E23" i="45"/>
  <c r="G22" i="45"/>
  <c r="F22" i="45"/>
  <c r="E22" i="45"/>
  <c r="D22" i="45"/>
  <c r="G21" i="45"/>
  <c r="F21" i="45"/>
  <c r="F32" i="45" s="1"/>
  <c r="E21" i="45"/>
  <c r="E32" i="45" s="1"/>
  <c r="H20" i="45"/>
  <c r="I20" i="45"/>
  <c r="C20" i="45"/>
  <c r="C28" i="45" s="1"/>
  <c r="N13" i="45"/>
  <c r="M13" i="45"/>
  <c r="K13" i="45"/>
  <c r="I13" i="45"/>
  <c r="H13" i="45"/>
  <c r="P12" i="45"/>
  <c r="P13" i="45" s="1"/>
  <c r="P14" i="45" s="1"/>
  <c r="P15" i="45" s="1"/>
  <c r="P16" i="45" s="1"/>
  <c r="P17" i="45" s="1"/>
  <c r="P18" i="45" s="1"/>
  <c r="P19" i="45" s="1"/>
  <c r="P20" i="45" s="1"/>
  <c r="P21" i="45" s="1"/>
  <c r="P22" i="45" s="1"/>
  <c r="P23" i="45" s="1"/>
  <c r="P24" i="45" s="1"/>
  <c r="P25" i="45" s="1"/>
  <c r="P26" i="45" s="1"/>
  <c r="P27" i="45" s="1"/>
  <c r="P28" i="45" s="1"/>
  <c r="P29" i="45" s="1"/>
  <c r="P30" i="45" s="1"/>
  <c r="P31" i="45" s="1"/>
  <c r="P32" i="45" s="1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F13" i="45" s="1"/>
  <c r="D49" i="29" l="1"/>
  <c r="G49" i="29" s="1"/>
  <c r="E25" i="27"/>
  <c r="G27" i="27"/>
  <c r="A21" i="34"/>
  <c r="A22" i="34" s="1"/>
  <c r="E43" i="34"/>
  <c r="C28" i="34"/>
  <c r="C49" i="34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G28" i="32"/>
  <c r="G25" i="27"/>
  <c r="E27" i="27"/>
  <c r="E29" i="27" s="1"/>
  <c r="E34" i="27" s="1"/>
  <c r="E36" i="27" s="1"/>
  <c r="G29" i="27"/>
  <c r="G34" i="27"/>
  <c r="A30" i="27"/>
  <c r="A31" i="27" s="1"/>
  <c r="A32" i="27" s="1"/>
  <c r="A63" i="27"/>
  <c r="A64" i="27" s="1"/>
  <c r="A65" i="27" s="1"/>
  <c r="A66" i="27" s="1"/>
  <c r="A67" i="27" s="1"/>
  <c r="G15" i="27"/>
  <c r="D50" i="29"/>
  <c r="G50" i="29" s="1"/>
  <c r="G53" i="29" s="1"/>
  <c r="G86" i="29" s="1"/>
  <c r="D51" i="29"/>
  <c r="G48" i="29"/>
  <c r="I99" i="29"/>
  <c r="A89" i="29"/>
  <c r="G151" i="29"/>
  <c r="G154" i="29" s="1"/>
  <c r="G158" i="29" s="1"/>
  <c r="I146" i="29"/>
  <c r="A136" i="29"/>
  <c r="A27" i="29"/>
  <c r="A28" i="29" s="1"/>
  <c r="I28" i="29"/>
  <c r="I26" i="29"/>
  <c r="I22" i="45"/>
  <c r="H22" i="45"/>
  <c r="H23" i="45"/>
  <c r="H31" i="45"/>
  <c r="H29" i="45"/>
  <c r="H21" i="45"/>
  <c r="H32" i="45" s="1"/>
  <c r="D30" i="45"/>
  <c r="I30" i="45" s="1"/>
  <c r="K20" i="45"/>
  <c r="M20" i="45"/>
  <c r="I28" i="45"/>
  <c r="G32" i="45"/>
  <c r="C21" i="45"/>
  <c r="C23" i="45"/>
  <c r="C25" i="45"/>
  <c r="C27" i="45"/>
  <c r="C29" i="45"/>
  <c r="C31" i="45"/>
  <c r="C24" i="45"/>
  <c r="C30" i="45"/>
  <c r="D21" i="45"/>
  <c r="D23" i="45"/>
  <c r="I23" i="45" s="1"/>
  <c r="D25" i="45"/>
  <c r="I25" i="45" s="1"/>
  <c r="D27" i="45"/>
  <c r="I27" i="45" s="1"/>
  <c r="D29" i="45"/>
  <c r="I29" i="45" s="1"/>
  <c r="D31" i="45"/>
  <c r="C22" i="45"/>
  <c r="C26" i="45"/>
  <c r="E45" i="34" l="1"/>
  <c r="A23" i="34"/>
  <c r="A24" i="34" s="1"/>
  <c r="A25" i="34" s="1"/>
  <c r="A26" i="34" s="1"/>
  <c r="C53" i="34"/>
  <c r="A46" i="32"/>
  <c r="G45" i="32"/>
  <c r="G17" i="27"/>
  <c r="A68" i="27"/>
  <c r="A69" i="27" s="1"/>
  <c r="A70" i="27" s="1"/>
  <c r="A71" i="27" s="1"/>
  <c r="A72" i="27" s="1"/>
  <c r="A33" i="27"/>
  <c r="A34" i="27" s="1"/>
  <c r="A35" i="27" s="1"/>
  <c r="A36" i="27" s="1"/>
  <c r="G51" i="29"/>
  <c r="G109" i="29" s="1"/>
  <c r="G92" i="29"/>
  <c r="G101" i="29" s="1"/>
  <c r="G98" i="29"/>
  <c r="I147" i="29"/>
  <c r="A137" i="29"/>
  <c r="A138" i="29" s="1"/>
  <c r="A139" i="29" s="1"/>
  <c r="A90" i="29"/>
  <c r="I100" i="29"/>
  <c r="I48" i="29"/>
  <c r="A29" i="29"/>
  <c r="A30" i="29" s="1"/>
  <c r="A31" i="29" s="1"/>
  <c r="N20" i="45"/>
  <c r="I31" i="45"/>
  <c r="I21" i="45"/>
  <c r="I32" i="45" s="1"/>
  <c r="D32" i="45"/>
  <c r="A27" i="34" l="1"/>
  <c r="A28" i="34" s="1"/>
  <c r="A29" i="34" s="1"/>
  <c r="A34" i="34" s="1"/>
  <c r="A35" i="34" s="1"/>
  <c r="E47" i="34"/>
  <c r="A47" i="32"/>
  <c r="G47" i="32"/>
  <c r="G36" i="27"/>
  <c r="G19" i="27"/>
  <c r="A73" i="27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I137" i="29"/>
  <c r="A91" i="29"/>
  <c r="A92" i="29" s="1"/>
  <c r="G104" i="29"/>
  <c r="G107" i="29" s="1"/>
  <c r="G111" i="29" s="1"/>
  <c r="I37" i="29"/>
  <c r="A32" i="29"/>
  <c r="I148" i="29"/>
  <c r="A140" i="29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K21" i="45"/>
  <c r="A36" i="34" l="1"/>
  <c r="A37" i="34" s="1"/>
  <c r="A38" i="34" s="1"/>
  <c r="A39" i="34" s="1"/>
  <c r="A40" i="34" s="1"/>
  <c r="A41" i="34" s="1"/>
  <c r="A48" i="32"/>
  <c r="A49" i="32" s="1"/>
  <c r="A86" i="27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G23" i="27" s="1"/>
  <c r="G21" i="27"/>
  <c r="I101" i="29"/>
  <c r="A93" i="29"/>
  <c r="A94" i="29" s="1"/>
  <c r="A95" i="29" s="1"/>
  <c r="A96" i="29" s="1"/>
  <c r="A97" i="29" s="1"/>
  <c r="A98" i="29" s="1"/>
  <c r="A99" i="29" s="1"/>
  <c r="A100" i="29" s="1"/>
  <c r="A101" i="29" s="1"/>
  <c r="A102" i="29" s="1"/>
  <c r="A155" i="29"/>
  <c r="A156" i="29" s="1"/>
  <c r="A157" i="29" s="1"/>
  <c r="A158" i="29" s="1"/>
  <c r="I154" i="29"/>
  <c r="I33" i="29"/>
  <c r="A33" i="29"/>
  <c r="M21" i="45"/>
  <c r="N21" i="45" s="1"/>
  <c r="A42" i="34" l="1"/>
  <c r="A43" i="34" s="1"/>
  <c r="A44" i="34" s="1"/>
  <c r="A45" i="34" s="1"/>
  <c r="A46" i="34" s="1"/>
  <c r="A47" i="34" s="1"/>
  <c r="A48" i="34" s="1"/>
  <c r="A49" i="34" s="1"/>
  <c r="E41" i="34"/>
  <c r="A50" i="32"/>
  <c r="A51" i="32" s="1"/>
  <c r="A52" i="32" s="1"/>
  <c r="A53" i="32" s="1"/>
  <c r="A54" i="32" s="1"/>
  <c r="G49" i="32"/>
  <c r="A34" i="29"/>
  <c r="A35" i="29" s="1"/>
  <c r="A36" i="29" s="1"/>
  <c r="I49" i="29"/>
  <c r="I158" i="29"/>
  <c r="I149" i="29"/>
  <c r="A103" i="29"/>
  <c r="A104" i="29" s="1"/>
  <c r="K22" i="45"/>
  <c r="M22" i="45" s="1"/>
  <c r="A50" i="34" l="1"/>
  <c r="A51" i="34" s="1"/>
  <c r="A52" i="34" s="1"/>
  <c r="A53" i="34" s="1"/>
  <c r="A54" i="34" s="1"/>
  <c r="E49" i="34"/>
  <c r="G51" i="32"/>
  <c r="A55" i="32"/>
  <c r="A56" i="32" s="1"/>
  <c r="A57" i="32" s="1"/>
  <c r="A58" i="32" s="1"/>
  <c r="G60" i="32"/>
  <c r="A105" i="29"/>
  <c r="A106" i="29" s="1"/>
  <c r="A107" i="29" s="1"/>
  <c r="I107" i="29"/>
  <c r="A37" i="29"/>
  <c r="A38" i="29" s="1"/>
  <c r="A39" i="29" s="1"/>
  <c r="A40" i="29" s="1"/>
  <c r="A41" i="29" s="1"/>
  <c r="A42" i="29" s="1"/>
  <c r="A43" i="29" s="1"/>
  <c r="N22" i="45"/>
  <c r="E53" i="34" l="1"/>
  <c r="A59" i="32"/>
  <c r="A60" i="32" s="1"/>
  <c r="G58" i="32"/>
  <c r="I40" i="29"/>
  <c r="A44" i="29"/>
  <c r="A45" i="29" s="1"/>
  <c r="A46" i="29" s="1"/>
  <c r="A47" i="29" s="1"/>
  <c r="A48" i="29" s="1"/>
  <c r="I50" i="29"/>
  <c r="A108" i="29"/>
  <c r="A109" i="29" s="1"/>
  <c r="A110" i="29" s="1"/>
  <c r="A111" i="29" s="1"/>
  <c r="K23" i="45"/>
  <c r="A61" i="32" l="1"/>
  <c r="A62" i="32" s="1"/>
  <c r="A63" i="32" s="1"/>
  <c r="A64" i="32" s="1"/>
  <c r="A65" i="32" s="1"/>
  <c r="A66" i="32" s="1"/>
  <c r="A67" i="32" s="1"/>
  <c r="A68" i="32" s="1"/>
  <c r="I111" i="29"/>
  <c r="A49" i="29"/>
  <c r="M23" i="45"/>
  <c r="N23" i="45" s="1"/>
  <c r="A69" i="32" l="1"/>
  <c r="A70" i="32" s="1"/>
  <c r="G50" i="32" s="1"/>
  <c r="G70" i="32"/>
  <c r="G68" i="32"/>
  <c r="A50" i="29"/>
  <c r="I53" i="29" s="1"/>
  <c r="K24" i="45"/>
  <c r="M24" i="45"/>
  <c r="A51" i="29" l="1"/>
  <c r="I51" i="29"/>
  <c r="N24" i="45"/>
  <c r="I109" i="29" l="1"/>
  <c r="A52" i="29"/>
  <c r="A53" i="29" s="1"/>
  <c r="A54" i="29" s="1"/>
  <c r="A55" i="29" s="1"/>
  <c r="A56" i="29" s="1"/>
  <c r="A57" i="29" s="1"/>
  <c r="A58" i="29" s="1"/>
  <c r="A59" i="29" s="1"/>
  <c r="A60" i="29" s="1"/>
  <c r="A61" i="29" s="1"/>
  <c r="K25" i="45"/>
  <c r="M25" i="45" s="1"/>
  <c r="A62" i="29" l="1"/>
  <c r="N25" i="45"/>
  <c r="A63" i="29" l="1"/>
  <c r="K26" i="45"/>
  <c r="M26" i="45" s="1"/>
  <c r="A64" i="29" l="1"/>
  <c r="I64" i="29"/>
  <c r="I66" i="29"/>
  <c r="N26" i="45"/>
  <c r="A65" i="29" l="1"/>
  <c r="A66" i="29" s="1"/>
  <c r="I133" i="29" s="1"/>
  <c r="I156" i="29"/>
  <c r="K27" i="45"/>
  <c r="M27" i="45"/>
  <c r="N27" i="45" l="1"/>
  <c r="K28" i="45" l="1"/>
  <c r="M28" i="45" s="1"/>
  <c r="N28" i="45" l="1"/>
  <c r="K29" i="45" l="1"/>
  <c r="M29" i="45" s="1"/>
  <c r="N29" i="45" l="1"/>
  <c r="K30" i="45" l="1"/>
  <c r="M30" i="45" s="1"/>
  <c r="N30" i="45" l="1"/>
  <c r="K31" i="45" l="1"/>
  <c r="M31" i="45" l="1"/>
  <c r="M32" i="45" s="1"/>
  <c r="N31" i="45" l="1"/>
  <c r="B105" i="13" l="1"/>
  <c r="B104" i="13"/>
  <c r="I54" i="26"/>
  <c r="I55" i="26" s="1"/>
  <c r="I56" i="26" s="1"/>
  <c r="I57" i="26" s="1"/>
  <c r="I58" i="26" s="1"/>
  <c r="I59" i="26" s="1"/>
  <c r="I60" i="26" s="1"/>
  <c r="I61" i="26" s="1"/>
  <c r="I62" i="26" s="1"/>
  <c r="I63" i="26" s="1"/>
  <c r="I64" i="26" s="1"/>
  <c r="I65" i="26" s="1"/>
  <c r="I66" i="26" s="1"/>
  <c r="A54" i="26"/>
  <c r="A55" i="26"/>
  <c r="A56" i="26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D65" i="31"/>
  <c r="E66" i="31" s="1"/>
  <c r="E25" i="31" s="1"/>
  <c r="F25" i="31" s="1"/>
  <c r="J25" i="31" s="1"/>
  <c r="D62" i="31"/>
  <c r="E64" i="31" s="1"/>
  <c r="E23" i="31" s="1"/>
  <c r="F23" i="31" s="1"/>
  <c r="J23" i="31" s="1"/>
  <c r="E60" i="31"/>
  <c r="E53" i="31"/>
  <c r="E50" i="31"/>
  <c r="E47" i="31"/>
  <c r="E40" i="31"/>
  <c r="E13" i="31" s="1"/>
  <c r="F13" i="31" s="1"/>
  <c r="E37" i="31"/>
  <c r="E12" i="31" s="1"/>
  <c r="F29" i="31"/>
  <c r="J29" i="31" s="1"/>
  <c r="D27" i="31"/>
  <c r="D31" i="31" s="1"/>
  <c r="F24" i="31"/>
  <c r="J24" i="31" s="1"/>
  <c r="E22" i="31"/>
  <c r="F22" i="31" s="1"/>
  <c r="J22" i="31" s="1"/>
  <c r="F21" i="31"/>
  <c r="J21" i="31" s="1"/>
  <c r="E20" i="31"/>
  <c r="F20" i="31" s="1"/>
  <c r="J20" i="31" s="1"/>
  <c r="E19" i="31"/>
  <c r="F19" i="31" s="1"/>
  <c r="J19" i="31" s="1"/>
  <c r="E18" i="31"/>
  <c r="F18" i="31" s="1"/>
  <c r="J18" i="31" s="1"/>
  <c r="E17" i="31"/>
  <c r="F17" i="31" s="1"/>
  <c r="J17" i="31" s="1"/>
  <c r="F16" i="31"/>
  <c r="J16" i="31" s="1"/>
  <c r="E15" i="31"/>
  <c r="F15" i="31" s="1"/>
  <c r="J15" i="31" s="1"/>
  <c r="E14" i="31"/>
  <c r="F14" i="31" s="1"/>
  <c r="J14" i="31" s="1"/>
  <c r="A13" i="31"/>
  <c r="A14" i="31" s="1"/>
  <c r="A15" i="31" s="1"/>
  <c r="A16" i="31" s="1"/>
  <c r="A17" i="31" s="1"/>
  <c r="A20" i="31" s="1"/>
  <c r="A21" i="31" s="1"/>
  <c r="A22" i="31" s="1"/>
  <c r="A23" i="31" s="1"/>
  <c r="A24" i="31" s="1"/>
  <c r="A25" i="31" s="1"/>
  <c r="L12" i="31"/>
  <c r="L13" i="31" s="1"/>
  <c r="L14" i="31" s="1"/>
  <c r="L15" i="31" s="1"/>
  <c r="L16" i="31" s="1"/>
  <c r="L17" i="31" s="1"/>
  <c r="L20" i="31" s="1"/>
  <c r="L21" i="31" s="1"/>
  <c r="L22" i="31" s="1"/>
  <c r="L23" i="31" s="1"/>
  <c r="L24" i="31" s="1"/>
  <c r="L25" i="31" s="1"/>
  <c r="L26" i="31" s="1"/>
  <c r="L27" i="31" s="1"/>
  <c r="L28" i="31" s="1"/>
  <c r="L29" i="31" s="1"/>
  <c r="L30" i="31" s="1"/>
  <c r="L31" i="31" s="1"/>
  <c r="L32" i="31" s="1"/>
  <c r="L33" i="31" s="1"/>
  <c r="L34" i="31" s="1"/>
  <c r="L35" i="31" s="1"/>
  <c r="L36" i="31" s="1"/>
  <c r="L37" i="31" s="1"/>
  <c r="L38" i="31" s="1"/>
  <c r="L39" i="31" s="1"/>
  <c r="L40" i="31" s="1"/>
  <c r="L41" i="31" s="1"/>
  <c r="L42" i="31" s="1"/>
  <c r="L43" i="31" s="1"/>
  <c r="L44" i="31" s="1"/>
  <c r="L45" i="31" s="1"/>
  <c r="L46" i="31" s="1"/>
  <c r="L47" i="31" s="1"/>
  <c r="L48" i="31" s="1"/>
  <c r="L49" i="31" s="1"/>
  <c r="L50" i="31" s="1"/>
  <c r="L51" i="31" s="1"/>
  <c r="L52" i="31" s="1"/>
  <c r="L53" i="31" s="1"/>
  <c r="L54" i="31" s="1"/>
  <c r="L55" i="31" s="1"/>
  <c r="L56" i="31" s="1"/>
  <c r="L57" i="31" s="1"/>
  <c r="L58" i="31" s="1"/>
  <c r="L59" i="31" s="1"/>
  <c r="L60" i="31" s="1"/>
  <c r="L61" i="31" s="1"/>
  <c r="L62" i="31" s="1"/>
  <c r="L63" i="31" s="1"/>
  <c r="L64" i="31" s="1"/>
  <c r="L65" i="31" s="1"/>
  <c r="L66" i="31" s="1"/>
  <c r="L67" i="31" s="1"/>
  <c r="L68" i="31" s="1"/>
  <c r="L69" i="31" s="1"/>
  <c r="L70" i="31" s="1"/>
  <c r="L71" i="31" s="1"/>
  <c r="L72" i="31" s="1"/>
  <c r="L73" i="31" s="1"/>
  <c r="L74" i="31" s="1"/>
  <c r="L75" i="31" s="1"/>
  <c r="L76" i="31" s="1"/>
  <c r="L77" i="31" s="1"/>
  <c r="L78" i="31" s="1"/>
  <c r="L79" i="31" s="1"/>
  <c r="L80" i="31" s="1"/>
  <c r="L81" i="31" s="1"/>
  <c r="L82" i="31" s="1"/>
  <c r="L83" i="31" s="1"/>
  <c r="J13" i="31" l="1"/>
  <c r="H27" i="31"/>
  <c r="H31" i="31" s="1"/>
  <c r="F12" i="31"/>
  <c r="E27" i="31"/>
  <c r="E31" i="31" s="1"/>
  <c r="K27" i="31"/>
  <c r="A26" i="31"/>
  <c r="A27" i="31" s="1"/>
  <c r="E68" i="31"/>
  <c r="A28" i="31" l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F27" i="31"/>
  <c r="F31" i="31" s="1"/>
  <c r="J12" i="31"/>
  <c r="J27" i="31" s="1"/>
  <c r="J31" i="31" s="1"/>
  <c r="K31" i="31" l="1"/>
  <c r="G20" i="12" l="1"/>
  <c r="G30" i="12"/>
  <c r="G29" i="12"/>
  <c r="G28" i="12"/>
  <c r="G27" i="12"/>
  <c r="G26" i="12"/>
  <c r="G25" i="12"/>
  <c r="G24" i="12"/>
  <c r="G23" i="12"/>
  <c r="G22" i="12"/>
  <c r="G21" i="12"/>
  <c r="F30" i="12"/>
  <c r="F29" i="12"/>
  <c r="F28" i="12"/>
  <c r="F27" i="12"/>
  <c r="F26" i="12"/>
  <c r="F25" i="12"/>
  <c r="F24" i="12"/>
  <c r="F23" i="12"/>
  <c r="F22" i="12"/>
  <c r="F21" i="12"/>
  <c r="F20" i="12"/>
  <c r="E30" i="12"/>
  <c r="E29" i="12"/>
  <c r="E28" i="12"/>
  <c r="E27" i="12"/>
  <c r="E26" i="12"/>
  <c r="E25" i="12"/>
  <c r="E24" i="12"/>
  <c r="E23" i="12"/>
  <c r="E22" i="12"/>
  <c r="E21" i="12"/>
  <c r="E20" i="12"/>
  <c r="E42" i="19"/>
  <c r="E41" i="19"/>
  <c r="E40" i="19"/>
  <c r="E39" i="19"/>
  <c r="E38" i="19"/>
  <c r="E36" i="19"/>
  <c r="E35" i="19"/>
  <c r="E34" i="19"/>
  <c r="E33" i="19"/>
  <c r="D76" i="18"/>
  <c r="E77" i="18" s="1"/>
  <c r="E27" i="18" s="1"/>
  <c r="F27" i="18" s="1"/>
  <c r="J27" i="18" s="1"/>
  <c r="N27" i="18" s="1"/>
  <c r="D72" i="18"/>
  <c r="E32" i="19" s="1"/>
  <c r="E70" i="18"/>
  <c r="E21" i="18" s="1"/>
  <c r="F21" i="18" s="1"/>
  <c r="J21" i="18" s="1"/>
  <c r="N21" i="18" s="1"/>
  <c r="E62" i="18"/>
  <c r="E19" i="18" s="1"/>
  <c r="F19" i="18" s="1"/>
  <c r="J19" i="18" s="1"/>
  <c r="N19" i="18" s="1"/>
  <c r="E58" i="18"/>
  <c r="E18" i="18" s="1"/>
  <c r="F18" i="18" s="1"/>
  <c r="E53" i="18"/>
  <c r="E15" i="18" s="1"/>
  <c r="F15" i="18" s="1"/>
  <c r="E43" i="18"/>
  <c r="E12" i="18" s="1"/>
  <c r="F12" i="18" s="1"/>
  <c r="E39" i="18"/>
  <c r="E11" i="18" s="1"/>
  <c r="F11" i="18" s="1"/>
  <c r="F31" i="18"/>
  <c r="J31" i="18" s="1"/>
  <c r="N31" i="18" s="1"/>
  <c r="D29" i="18"/>
  <c r="D33" i="18" s="1"/>
  <c r="E30" i="19" s="1"/>
  <c r="F26" i="18"/>
  <c r="J26" i="18" s="1"/>
  <c r="N26" i="18" s="1"/>
  <c r="E23" i="18"/>
  <c r="F23" i="18" s="1"/>
  <c r="J23" i="18" s="1"/>
  <c r="N23" i="18" s="1"/>
  <c r="F22" i="18"/>
  <c r="J22" i="18" s="1"/>
  <c r="N22" i="18" s="1"/>
  <c r="E20" i="18"/>
  <c r="F20" i="18" s="1"/>
  <c r="J20" i="18" s="1"/>
  <c r="N20" i="18" s="1"/>
  <c r="F17" i="18"/>
  <c r="E14" i="18"/>
  <c r="F14" i="18" s="1"/>
  <c r="J14" i="18" s="1"/>
  <c r="N14" i="18" s="1"/>
  <c r="A12" i="18"/>
  <c r="A13" i="18" s="1"/>
  <c r="A14" i="18" s="1"/>
  <c r="A15" i="18" s="1"/>
  <c r="A16" i="18" s="1"/>
  <c r="A17" i="18" s="1"/>
  <c r="P11" i="18"/>
  <c r="P12" i="18" s="1"/>
  <c r="P13" i="18" s="1"/>
  <c r="P14" i="18" s="1"/>
  <c r="P15" i="18" s="1"/>
  <c r="P16" i="18" s="1"/>
  <c r="P17" i="18" s="1"/>
  <c r="P18" i="18" s="1"/>
  <c r="J17" i="18" l="1"/>
  <c r="N17" i="18" s="1"/>
  <c r="J18" i="18"/>
  <c r="N18" i="18" s="1"/>
  <c r="L29" i="18"/>
  <c r="L33" i="18" s="1"/>
  <c r="E44" i="19" s="1"/>
  <c r="E45" i="19" s="1"/>
  <c r="J15" i="18"/>
  <c r="N15" i="18" s="1"/>
  <c r="J12" i="18"/>
  <c r="N12" i="18" s="1"/>
  <c r="H29" i="18"/>
  <c r="H33" i="18" s="1"/>
  <c r="E46" i="19"/>
  <c r="E75" i="18"/>
  <c r="E24" i="18" s="1"/>
  <c r="F24" i="18" s="1"/>
  <c r="J24" i="18" s="1"/>
  <c r="N24" i="18" s="1"/>
  <c r="J11" i="18"/>
  <c r="N11" i="18" s="1"/>
  <c r="E50" i="32" l="1"/>
  <c r="E47" i="32"/>
  <c r="E49" i="32" s="1"/>
  <c r="E51" i="32" s="1"/>
  <c r="A18" i="18"/>
  <c r="E79" i="18"/>
  <c r="N29" i="18"/>
  <c r="N33" i="18" s="1"/>
  <c r="E29" i="18"/>
  <c r="E33" i="18" s="1"/>
  <c r="F29" i="18"/>
  <c r="F33" i="18" s="1"/>
  <c r="J29" i="18"/>
  <c r="J33" i="18" s="1"/>
  <c r="P19" i="18" l="1"/>
  <c r="P20" i="18" s="1"/>
  <c r="P21" i="18" s="1"/>
  <c r="P22" i="18" s="1"/>
  <c r="P23" i="18" s="1"/>
  <c r="P24" i="18" s="1"/>
  <c r="P25" i="18" s="1"/>
  <c r="P26" i="18" s="1"/>
  <c r="P27" i="18" s="1"/>
  <c r="P28" i="18" s="1"/>
  <c r="P29" i="18" s="1"/>
  <c r="P30" i="18" s="1"/>
  <c r="P31" i="18" s="1"/>
  <c r="P32" i="18" s="1"/>
  <c r="P33" i="18" s="1"/>
  <c r="P34" i="18" s="1"/>
  <c r="P35" i="18" s="1"/>
  <c r="P36" i="18" s="1"/>
  <c r="P37" i="18" s="1"/>
  <c r="P38" i="18" s="1"/>
  <c r="P39" i="18" s="1"/>
  <c r="P40" i="18" s="1"/>
  <c r="P41" i="18" s="1"/>
  <c r="P42" i="18" s="1"/>
  <c r="P43" i="18" s="1"/>
  <c r="P47" i="18" s="1"/>
  <c r="P48" i="18" s="1"/>
  <c r="P49" i="18" s="1"/>
  <c r="P50" i="18" s="1"/>
  <c r="P51" i="18" s="1"/>
  <c r="P52" i="18" s="1"/>
  <c r="P53" i="18" s="1"/>
  <c r="P56" i="18" s="1"/>
  <c r="P57" i="18" s="1"/>
  <c r="P58" i="18" s="1"/>
  <c r="P59" i="18" s="1"/>
  <c r="P60" i="18" s="1"/>
  <c r="P61" i="18" s="1"/>
  <c r="P62" i="18" s="1"/>
  <c r="P63" i="18" s="1"/>
  <c r="P64" i="18" s="1"/>
  <c r="P65" i="18" s="1"/>
  <c r="P66" i="18" s="1"/>
  <c r="P67" i="18" s="1"/>
  <c r="P68" i="18" s="1"/>
  <c r="P69" i="18" s="1"/>
  <c r="P70" i="18" s="1"/>
  <c r="P71" i="18" s="1"/>
  <c r="P72" i="18" s="1"/>
  <c r="P76" i="18" s="1"/>
  <c r="P77" i="18" s="1"/>
  <c r="P78" i="18" s="1"/>
  <c r="P79" i="18" s="1"/>
  <c r="A19" i="18"/>
  <c r="A20" i="18" s="1"/>
  <c r="A21" i="18" s="1"/>
  <c r="A22" i="18" s="1"/>
  <c r="A23" i="18" s="1"/>
  <c r="A24" i="18" s="1"/>
  <c r="A25" i="18" s="1"/>
  <c r="A26" i="18" s="1"/>
  <c r="A27" i="18" s="1"/>
  <c r="P80" i="18" l="1"/>
  <c r="P81" i="18" s="1"/>
  <c r="P82" i="18" s="1"/>
  <c r="P83" i="18" s="1"/>
  <c r="P84" i="18" s="1"/>
  <c r="P85" i="18" s="1"/>
  <c r="P86" i="18" s="1"/>
  <c r="P87" i="18" s="1"/>
  <c r="P88" i="18" s="1"/>
  <c r="P89" i="18" s="1"/>
  <c r="P90" i="18" s="1"/>
  <c r="P91" i="18" s="1"/>
  <c r="P92" i="18" s="1"/>
  <c r="P93" i="18" s="1"/>
  <c r="P94" i="18" s="1"/>
  <c r="P95" i="18" s="1"/>
  <c r="P96" i="18" s="1"/>
  <c r="P97" i="18" s="1"/>
  <c r="P98" i="18" s="1"/>
  <c r="O29" i="18"/>
  <c r="A28" i="18"/>
  <c r="A29" i="18" s="1"/>
  <c r="C18" i="14"/>
  <c r="C41" i="14" s="1"/>
  <c r="A30" i="18" l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9" i="18" s="1"/>
  <c r="A50" i="18" s="1"/>
  <c r="A51" i="18" s="1"/>
  <c r="A52" i="18" s="1"/>
  <c r="A53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7" i="18" s="1"/>
  <c r="A78" i="18" s="1"/>
  <c r="A79" i="18" s="1"/>
  <c r="A80" i="18" l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O33" i="18"/>
  <c r="C51" i="16"/>
  <c r="C26" i="16"/>
  <c r="C19" i="26" l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C52" i="26" s="1"/>
  <c r="C53" i="26" s="1"/>
  <c r="I11" i="26"/>
  <c r="I12" i="26" s="1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I53" i="26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E32" i="16" l="1"/>
  <c r="C32" i="16"/>
  <c r="F87" i="21" l="1"/>
  <c r="C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C81" i="21"/>
  <c r="C15" i="21" s="1"/>
  <c r="F66" i="21"/>
  <c r="C80" i="21"/>
  <c r="C14" i="21" s="1"/>
  <c r="F65" i="21"/>
  <c r="F64" i="21"/>
  <c r="C78" i="21"/>
  <c r="F63" i="21"/>
  <c r="B55" i="21"/>
  <c r="B54" i="21"/>
  <c r="C46" i="21"/>
  <c r="C41" i="21"/>
  <c r="C26" i="21"/>
  <c r="C21" i="21"/>
  <c r="A12" i="2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6" i="21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D63" i="11"/>
  <c r="C63" i="11"/>
  <c r="G62" i="11"/>
  <c r="G61" i="11"/>
  <c r="G60" i="1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B121" i="11"/>
  <c r="N12" i="12"/>
  <c r="L12" i="12"/>
  <c r="K12" i="12"/>
  <c r="I12" i="12"/>
  <c r="H12" i="12"/>
  <c r="O11" i="12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O30" i="12" s="1"/>
  <c r="O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C19" i="12"/>
  <c r="A52" i="13"/>
  <c r="A53" i="13" s="1"/>
  <c r="A54" i="13" s="1"/>
  <c r="H51" i="13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B46" i="13"/>
  <c r="B44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5" i="13"/>
  <c r="B43" i="13"/>
  <c r="B42" i="13"/>
  <c r="B52" i="15"/>
  <c r="C46" i="15"/>
  <c r="C47" i="16" s="1"/>
  <c r="B46" i="15"/>
  <c r="C44" i="15"/>
  <c r="C45" i="16" s="1"/>
  <c r="B44" i="15"/>
  <c r="B42" i="15"/>
  <c r="B38" i="15"/>
  <c r="B36" i="15"/>
  <c r="E34" i="15"/>
  <c r="B34" i="15"/>
  <c r="E32" i="15"/>
  <c r="C32" i="15"/>
  <c r="C38" i="15"/>
  <c r="C39" i="16" s="1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G65" i="11" l="1"/>
  <c r="G132" i="11" s="1"/>
  <c r="I144" i="11"/>
  <c r="A133" i="11"/>
  <c r="A134" i="11" s="1"/>
  <c r="I145" i="11" s="1"/>
  <c r="G63" i="11"/>
  <c r="G155" i="11" s="1"/>
  <c r="G27" i="11"/>
  <c r="E47" i="11" s="1"/>
  <c r="B74" i="11"/>
  <c r="C79" i="21"/>
  <c r="C13" i="21" s="1"/>
  <c r="C75" i="21"/>
  <c r="E91" i="13"/>
  <c r="H30" i="12"/>
  <c r="C12" i="21"/>
  <c r="C16" i="21" s="1"/>
  <c r="A13" i="21"/>
  <c r="A14" i="21" s="1"/>
  <c r="A15" i="21" s="1"/>
  <c r="A16" i="21" s="1"/>
  <c r="C68" i="21"/>
  <c r="A21" i="11"/>
  <c r="A22" i="11" s="1"/>
  <c r="A23" i="11" s="1"/>
  <c r="A24" i="11" s="1"/>
  <c r="A25" i="11" s="1"/>
  <c r="A86" i="11"/>
  <c r="A87" i="11" s="1"/>
  <c r="I97" i="11"/>
  <c r="G138" i="11"/>
  <c r="G147" i="11" s="1"/>
  <c r="G144" i="11"/>
  <c r="C50" i="11"/>
  <c r="D49" i="11" s="1"/>
  <c r="G49" i="11" s="1"/>
  <c r="I17" i="11"/>
  <c r="A135" i="11"/>
  <c r="C30" i="12"/>
  <c r="C29" i="12"/>
  <c r="C28" i="12"/>
  <c r="C27" i="12"/>
  <c r="C26" i="12"/>
  <c r="C25" i="12"/>
  <c r="C24" i="12"/>
  <c r="C23" i="12"/>
  <c r="C22" i="12"/>
  <c r="C21" i="12"/>
  <c r="C20" i="12"/>
  <c r="G31" i="12"/>
  <c r="H23" i="12"/>
  <c r="H19" i="12"/>
  <c r="H24" i="12"/>
  <c r="E31" i="12"/>
  <c r="A55" i="13"/>
  <c r="A56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14" i="15"/>
  <c r="A15" i="15" s="1"/>
  <c r="C34" i="15"/>
  <c r="C35" i="16" s="1"/>
  <c r="E36" i="15"/>
  <c r="G150" i="11" l="1"/>
  <c r="G153" i="11" s="1"/>
  <c r="G157" i="11" s="1"/>
  <c r="G24" i="13"/>
  <c r="C82" i="21"/>
  <c r="F31" i="12"/>
  <c r="A17" i="21"/>
  <c r="A18" i="21" s="1"/>
  <c r="A19" i="21" s="1"/>
  <c r="A88" i="11"/>
  <c r="I98" i="11"/>
  <c r="I27" i="11"/>
  <c r="A26" i="11"/>
  <c r="A27" i="11" s="1"/>
  <c r="I146" i="11"/>
  <c r="A136" i="11"/>
  <c r="A137" i="11" s="1"/>
  <c r="A138" i="11" s="1"/>
  <c r="D48" i="11"/>
  <c r="G48" i="11" s="1"/>
  <c r="G52" i="11" s="1"/>
  <c r="G85" i="11" s="1"/>
  <c r="D47" i="11"/>
  <c r="I25" i="11"/>
  <c r="H26" i="12"/>
  <c r="H25" i="12"/>
  <c r="H28" i="12"/>
  <c r="H22" i="12"/>
  <c r="H20" i="12"/>
  <c r="H29" i="12"/>
  <c r="H27" i="12"/>
  <c r="H21" i="12"/>
  <c r="G26" i="13"/>
  <c r="A25" i="13"/>
  <c r="A26" i="13" s="1"/>
  <c r="A27" i="13" s="1"/>
  <c r="A28" i="13" s="1"/>
  <c r="G12" i="13"/>
  <c r="A57" i="13"/>
  <c r="A58" i="13" s="1"/>
  <c r="A59" i="13" s="1"/>
  <c r="A16" i="15"/>
  <c r="A17" i="15" s="1"/>
  <c r="E38" i="15"/>
  <c r="G28" i="13" l="1"/>
  <c r="E66" i="13"/>
  <c r="E16" i="13" s="1"/>
  <c r="E71" i="13"/>
  <c r="E18" i="13" s="1"/>
  <c r="H31" i="12"/>
  <c r="A20" i="21"/>
  <c r="A21" i="21" s="1"/>
  <c r="I47" i="11"/>
  <c r="A28" i="11"/>
  <c r="A29" i="11" s="1"/>
  <c r="A30" i="11" s="1"/>
  <c r="D50" i="11"/>
  <c r="G47" i="11"/>
  <c r="G50" i="11" s="1"/>
  <c r="G108" i="11" s="1"/>
  <c r="G97" i="11"/>
  <c r="I147" i="11"/>
  <c r="A139" i="1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89" i="11"/>
  <c r="I99" i="11"/>
  <c r="A60" i="13"/>
  <c r="A61" i="13" s="1"/>
  <c r="G33" i="13"/>
  <c r="A29" i="13"/>
  <c r="A30" i="13" s="1"/>
  <c r="A31" i="13" s="1"/>
  <c r="A18" i="15"/>
  <c r="A19" i="15" s="1"/>
  <c r="A22" i="21" l="1"/>
  <c r="A23" i="21" s="1"/>
  <c r="A24" i="21" s="1"/>
  <c r="I153" i="11"/>
  <c r="I136" i="11"/>
  <c r="A90" i="11"/>
  <c r="A91" i="11" s="1"/>
  <c r="I36" i="11"/>
  <c r="A31" i="11"/>
  <c r="A154" i="11"/>
  <c r="A155" i="11" s="1"/>
  <c r="A156" i="11" s="1"/>
  <c r="A157" i="11" s="1"/>
  <c r="A32" i="13"/>
  <c r="A33" i="13" s="1"/>
  <c r="A34" i="13" s="1"/>
  <c r="A35" i="13" s="1"/>
  <c r="G14" i="13"/>
  <c r="A62" i="13"/>
  <c r="A63" i="13" s="1"/>
  <c r="A64" i="13" s="1"/>
  <c r="A20" i="15"/>
  <c r="A21" i="15" s="1"/>
  <c r="E42" i="15"/>
  <c r="G35" i="13" l="1"/>
  <c r="A25" i="21"/>
  <c r="A26" i="21" s="1"/>
  <c r="I157" i="11"/>
  <c r="I100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A32" i="11"/>
  <c r="I32" i="11"/>
  <c r="A65" i="13"/>
  <c r="A66" i="13" s="1"/>
  <c r="E44" i="15"/>
  <c r="A22" i="15"/>
  <c r="A23" i="15" s="1"/>
  <c r="A27" i="21" l="1"/>
  <c r="A28" i="21" s="1"/>
  <c r="A29" i="21" s="1"/>
  <c r="I148" i="11"/>
  <c r="A102" i="11"/>
  <c r="A103" i="11" s="1"/>
  <c r="A33" i="11"/>
  <c r="A34" i="11" s="1"/>
  <c r="A35" i="11" s="1"/>
  <c r="I48" i="11"/>
  <c r="G16" i="13"/>
  <c r="A67" i="13"/>
  <c r="A68" i="13" s="1"/>
  <c r="A69" i="13" s="1"/>
  <c r="A24" i="15"/>
  <c r="A25" i="15" s="1"/>
  <c r="A30" i="21" l="1"/>
  <c r="A31" i="21" s="1"/>
  <c r="A32" i="21" s="1"/>
  <c r="A36" i="11"/>
  <c r="A37" i="11" s="1"/>
  <c r="A38" i="11" s="1"/>
  <c r="A39" i="11" s="1"/>
  <c r="A40" i="11" s="1"/>
  <c r="A41" i="11" s="1"/>
  <c r="A42" i="11" s="1"/>
  <c r="A104" i="11"/>
  <c r="A105" i="11" s="1"/>
  <c r="A106" i="11" s="1"/>
  <c r="I106" i="11"/>
  <c r="A70" i="13"/>
  <c r="A71" i="13" s="1"/>
  <c r="A26" i="15"/>
  <c r="A27" i="15" s="1"/>
  <c r="A28" i="15" s="1"/>
  <c r="A33" i="15" s="1"/>
  <c r="A34" i="15" s="1"/>
  <c r="E46" i="15"/>
  <c r="A33" i="21" l="1"/>
  <c r="A34" i="21" s="1"/>
  <c r="A35" i="21" s="1"/>
  <c r="A36" i="21" s="1"/>
  <c r="A37" i="21" s="1"/>
  <c r="A38" i="21" s="1"/>
  <c r="A39" i="21" s="1"/>
  <c r="A43" i="11"/>
  <c r="A44" i="11" s="1"/>
  <c r="A45" i="11" s="1"/>
  <c r="A46" i="11" s="1"/>
  <c r="A47" i="11" s="1"/>
  <c r="I49" i="11"/>
  <c r="A107" i="11"/>
  <c r="A108" i="11" s="1"/>
  <c r="A109" i="11" s="1"/>
  <c r="A110" i="11" s="1"/>
  <c r="I110" i="11"/>
  <c r="I39" i="11"/>
  <c r="G18" i="13"/>
  <c r="A72" i="13"/>
  <c r="A73" i="13" s="1"/>
  <c r="A74" i="13" s="1"/>
  <c r="A75" i="13" s="1"/>
  <c r="A35" i="15"/>
  <c r="A36" i="15" s="1"/>
  <c r="A37" i="15" s="1"/>
  <c r="A38" i="15" s="1"/>
  <c r="A39" i="15" s="1"/>
  <c r="A40" i="15" s="1"/>
  <c r="A40" i="21" l="1"/>
  <c r="A41" i="21" s="1"/>
  <c r="A42" i="21" s="1"/>
  <c r="A43" i="21" s="1"/>
  <c r="A44" i="21" s="1"/>
  <c r="A48" i="11"/>
  <c r="A76" i="13"/>
  <c r="A77" i="13" s="1"/>
  <c r="A78" i="13" s="1"/>
  <c r="A41" i="15"/>
  <c r="A42" i="15" s="1"/>
  <c r="A43" i="15" s="1"/>
  <c r="A44" i="15" s="1"/>
  <c r="A45" i="15" s="1"/>
  <c r="A46" i="15" s="1"/>
  <c r="A47" i="15" s="1"/>
  <c r="A48" i="15" s="1"/>
  <c r="E40" i="15"/>
  <c r="A45" i="21" l="1"/>
  <c r="A46" i="21" s="1"/>
  <c r="A47" i="21" s="1"/>
  <c r="A48" i="21" s="1"/>
  <c r="A49" i="11"/>
  <c r="I52" i="11"/>
  <c r="A79" i="13"/>
  <c r="A80" i="13" s="1"/>
  <c r="A49" i="15"/>
  <c r="A50" i="15" s="1"/>
  <c r="A51" i="15" s="1"/>
  <c r="A52" i="15" s="1"/>
  <c r="A53" i="15" s="1"/>
  <c r="E48" i="15"/>
  <c r="A50" i="11" l="1"/>
  <c r="I50" i="11"/>
  <c r="A81" i="13"/>
  <c r="A82" i="13" s="1"/>
  <c r="E52" i="15"/>
  <c r="I108" i="11" l="1"/>
  <c r="A51" i="11"/>
  <c r="A52" i="11" s="1"/>
  <c r="A83" i="13"/>
  <c r="A84" i="13" s="1"/>
  <c r="A53" i="11" l="1"/>
  <c r="A54" i="11" s="1"/>
  <c r="A55" i="11" s="1"/>
  <c r="A56" i="11" s="1"/>
  <c r="A57" i="11" s="1"/>
  <c r="A58" i="11" s="1"/>
  <c r="A59" i="11" s="1"/>
  <c r="A60" i="11" s="1"/>
  <c r="G20" i="13"/>
  <c r="A85" i="13"/>
  <c r="A86" i="13" s="1"/>
  <c r="A87" i="13" s="1"/>
  <c r="A61" i="11" l="1"/>
  <c r="A88" i="13"/>
  <c r="A89" i="13" s="1"/>
  <c r="A90" i="13" s="1"/>
  <c r="A91" i="13" s="1"/>
  <c r="A62" i="11" l="1"/>
  <c r="A92" i="13"/>
  <c r="A93" i="13" s="1"/>
  <c r="A94" i="13" s="1"/>
  <c r="A95" i="13" s="1"/>
  <c r="A63" i="11" l="1"/>
  <c r="I63" i="11"/>
  <c r="I65" i="11"/>
  <c r="A96" i="13"/>
  <c r="A97" i="13" s="1"/>
  <c r="A98" i="13" s="1"/>
  <c r="A99" i="13" s="1"/>
  <c r="A64" i="11" l="1"/>
  <c r="A65" i="11" s="1"/>
  <c r="I132" i="11" s="1"/>
  <c r="I155" i="11"/>
  <c r="A100" i="13"/>
  <c r="A101" i="13" s="1"/>
  <c r="G22" i="13" s="1"/>
  <c r="B53" i="14" l="1"/>
  <c r="C47" i="14"/>
  <c r="B47" i="14"/>
  <c r="B45" i="14"/>
  <c r="B43" i="14"/>
  <c r="B39" i="14"/>
  <c r="B37" i="14"/>
  <c r="D35" i="14"/>
  <c r="B35" i="14"/>
  <c r="D33" i="14"/>
  <c r="C33" i="14"/>
  <c r="C45" i="14"/>
  <c r="C43" i="14"/>
  <c r="C39" i="14"/>
  <c r="A13" i="14"/>
  <c r="A14" i="14" s="1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C35" i="14"/>
  <c r="C24" i="14" l="1"/>
  <c r="C28" i="14" s="1"/>
  <c r="D37" i="14"/>
  <c r="A15" i="14"/>
  <c r="A16" i="14" s="1"/>
  <c r="C37" i="14"/>
  <c r="C49" i="14" s="1"/>
  <c r="C53" i="14" s="1"/>
  <c r="D39" i="14" l="1"/>
  <c r="A17" i="14"/>
  <c r="A18" i="14" s="1"/>
  <c r="A19" i="14" l="1"/>
  <c r="A20" i="14" s="1"/>
  <c r="D43" i="14" l="1"/>
  <c r="A21" i="14"/>
  <c r="A22" i="14" s="1"/>
  <c r="A23" i="14" l="1"/>
  <c r="A24" i="14" s="1"/>
  <c r="D45" i="14"/>
  <c r="A25" i="14" l="1"/>
  <c r="A26" i="14" s="1"/>
  <c r="D47" i="14" l="1"/>
  <c r="A27" i="14"/>
  <c r="A28" i="14" s="1"/>
  <c r="A29" i="14" s="1"/>
  <c r="A34" i="14" s="1"/>
  <c r="A35" i="14" s="1"/>
  <c r="A36" i="14" l="1"/>
  <c r="A37" i="14" s="1"/>
  <c r="A38" i="14" s="1"/>
  <c r="A39" i="14" s="1"/>
  <c r="A40" i="14" s="1"/>
  <c r="A41" i="14" s="1"/>
  <c r="D41" i="14" l="1"/>
  <c r="A42" i="14"/>
  <c r="A43" i="14" s="1"/>
  <c r="A44" i="14" s="1"/>
  <c r="A45" i="14" s="1"/>
  <c r="A46" i="14" s="1"/>
  <c r="A47" i="14" s="1"/>
  <c r="A48" i="14" s="1"/>
  <c r="A49" i="14" s="1"/>
  <c r="D49" i="14" l="1"/>
  <c r="A50" i="14"/>
  <c r="A51" i="14" s="1"/>
  <c r="A52" i="14" s="1"/>
  <c r="A53" i="14" s="1"/>
  <c r="A54" i="14" s="1"/>
  <c r="D53" i="14" l="1"/>
  <c r="G12" i="1"/>
  <c r="G13" i="1" s="1"/>
  <c r="G14" i="1" s="1"/>
  <c r="A12" i="1"/>
  <c r="A13" i="1" s="1"/>
  <c r="A14" i="1" s="1"/>
  <c r="E58" i="19" l="1"/>
  <c r="E60" i="19"/>
  <c r="E68" i="19" s="1"/>
  <c r="E47" i="19"/>
  <c r="E49" i="19" s="1"/>
  <c r="E27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l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E56" i="13"/>
  <c r="E12" i="13" s="1"/>
  <c r="E70" i="19"/>
  <c r="E50" i="19" s="1"/>
  <c r="E51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H44" i="19" l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A27" i="19"/>
  <c r="A28" i="19" s="1"/>
  <c r="A29" i="19" s="1"/>
  <c r="A30" i="19" s="1"/>
  <c r="G27" i="19"/>
  <c r="E59" i="13"/>
  <c r="E61" i="13" s="1"/>
  <c r="E14" i="13" s="1"/>
  <c r="E23" i="17"/>
  <c r="A31" i="19" l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l="1"/>
  <c r="A45" i="19" l="1"/>
  <c r="G45" i="19"/>
  <c r="A46" i="19" l="1"/>
  <c r="A47" i="19" s="1"/>
  <c r="A48" i="19" s="1"/>
  <c r="A49" i="19" s="1"/>
  <c r="G47" i="19"/>
  <c r="G49" i="19"/>
  <c r="A50" i="19"/>
  <c r="A51" i="19" s="1"/>
  <c r="A52" i="19" s="1"/>
  <c r="A53" i="19" s="1"/>
  <c r="A54" i="19" s="1"/>
  <c r="G60" i="19" l="1"/>
  <c r="G51" i="19"/>
  <c r="A55" i="19"/>
  <c r="A56" i="19" s="1"/>
  <c r="A57" i="19" s="1"/>
  <c r="A58" i="19" s="1"/>
  <c r="G58" i="19" l="1"/>
  <c r="A59" i="19"/>
  <c r="A60" i="19" s="1"/>
  <c r="A61" i="19" l="1"/>
  <c r="A62" i="19" s="1"/>
  <c r="A63" i="19" s="1"/>
  <c r="A64" i="19" s="1"/>
  <c r="A65" i="19" s="1"/>
  <c r="A66" i="19" s="1"/>
  <c r="A67" i="19" s="1"/>
  <c r="A68" i="19" s="1"/>
  <c r="G70" i="19" s="1"/>
  <c r="G68" i="19" l="1"/>
  <c r="A69" i="19"/>
  <c r="A70" i="19" s="1"/>
  <c r="G50" i="19" s="1"/>
  <c r="E27" i="17" l="1"/>
  <c r="G19" i="17"/>
  <c r="A12" i="17"/>
  <c r="A13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G15" i="17"/>
  <c r="C16" i="16"/>
  <c r="E25" i="17" l="1"/>
  <c r="E29" i="17" s="1"/>
  <c r="C12" i="16"/>
  <c r="C22" i="16"/>
  <c r="A14" i="17"/>
  <c r="A15" i="17" s="1"/>
  <c r="A16" i="17" s="1"/>
  <c r="A17" i="17" s="1"/>
  <c r="A18" i="17" s="1"/>
  <c r="A19" i="17" s="1"/>
  <c r="A20" i="17" s="1"/>
  <c r="A21" i="17" s="1"/>
  <c r="A22" i="17" s="1"/>
  <c r="E77" i="13" l="1"/>
  <c r="E78" i="13" s="1"/>
  <c r="C31" i="21"/>
  <c r="C32" i="21" s="1"/>
  <c r="C36" i="21" s="1"/>
  <c r="G88" i="11" s="1"/>
  <c r="A23" i="17"/>
  <c r="A24" i="17" s="1"/>
  <c r="A25" i="17" s="1"/>
  <c r="G99" i="11" l="1"/>
  <c r="G91" i="11"/>
  <c r="G100" i="11" s="1"/>
  <c r="A26" i="17"/>
  <c r="A27" i="17" s="1"/>
  <c r="A28" i="17" s="1"/>
  <c r="A29" i="17" s="1"/>
  <c r="G103" i="11" l="1"/>
  <c r="G106" i="11" s="1"/>
  <c r="G110" i="11" s="1"/>
  <c r="E80" i="13" l="1"/>
  <c r="E93" i="13" s="1"/>
  <c r="E95" i="13" s="1"/>
  <c r="E99" i="13" s="1"/>
  <c r="E101" i="13" s="1"/>
  <c r="E22" i="13" s="1"/>
  <c r="G51" i="16"/>
  <c r="G33" i="16"/>
  <c r="G32" i="16"/>
  <c r="E33" i="16"/>
  <c r="E18" i="16"/>
  <c r="E41" i="16" s="1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E82" i="13" l="1"/>
  <c r="E84" i="13" s="1"/>
  <c r="E20" i="13" s="1"/>
  <c r="E24" i="13" s="1"/>
  <c r="E26" i="13" s="1"/>
  <c r="E28" i="13" s="1"/>
  <c r="E33" i="13" s="1"/>
  <c r="E35" i="13" s="1"/>
  <c r="C13" i="15" s="1"/>
  <c r="C17" i="15" s="1"/>
  <c r="C40" i="15" s="1"/>
  <c r="G47" i="16"/>
  <c r="G45" i="16"/>
  <c r="E49" i="16"/>
  <c r="E53" i="16" s="1"/>
  <c r="G39" i="16"/>
  <c r="E24" i="16"/>
  <c r="E28" i="16" s="1"/>
  <c r="G12" i="16"/>
  <c r="G22" i="16"/>
  <c r="G16" i="16"/>
  <c r="A15" i="16"/>
  <c r="A16" i="16" s="1"/>
  <c r="C36" i="15" l="1"/>
  <c r="C37" i="16" s="1"/>
  <c r="G37" i="16" s="1"/>
  <c r="C14" i="16"/>
  <c r="D19" i="12"/>
  <c r="G35" i="16"/>
  <c r="A17" i="16"/>
  <c r="A18" i="16" s="1"/>
  <c r="H18" i="16"/>
  <c r="C18" i="16" l="1"/>
  <c r="C41" i="16" s="1"/>
  <c r="G41" i="16" s="1"/>
  <c r="G14" i="16"/>
  <c r="G18" i="16" s="1"/>
  <c r="D25" i="12"/>
  <c r="I25" i="12" s="1"/>
  <c r="D22" i="12"/>
  <c r="I22" i="12" s="1"/>
  <c r="D28" i="12"/>
  <c r="I28" i="12" s="1"/>
  <c r="D21" i="12"/>
  <c r="I21" i="12" s="1"/>
  <c r="D26" i="12"/>
  <c r="I26" i="12" s="1"/>
  <c r="D27" i="12"/>
  <c r="I27" i="12" s="1"/>
  <c r="D23" i="12"/>
  <c r="I23" i="12" s="1"/>
  <c r="D24" i="12"/>
  <c r="I24" i="12" s="1"/>
  <c r="I19" i="12"/>
  <c r="D30" i="12"/>
  <c r="I30" i="12" s="1"/>
  <c r="D20" i="12"/>
  <c r="I20" i="12" s="1"/>
  <c r="D29" i="12"/>
  <c r="I29" i="12" s="1"/>
  <c r="A19" i="16"/>
  <c r="A20" i="16" s="1"/>
  <c r="D31" i="12" l="1"/>
  <c r="I31" i="12"/>
  <c r="L19" i="12"/>
  <c r="K19" i="12"/>
  <c r="A21" i="16"/>
  <c r="A22" i="16" s="1"/>
  <c r="H24" i="16" s="1"/>
  <c r="N19" i="12" l="1"/>
  <c r="K20" i="12" s="1"/>
  <c r="L20" i="12" s="1"/>
  <c r="N20" i="12" s="1"/>
  <c r="K21" i="12" s="1"/>
  <c r="L21" i="12" s="1"/>
  <c r="N21" i="12" s="1"/>
  <c r="K22" i="12" s="1"/>
  <c r="L22" i="12" s="1"/>
  <c r="N22" i="12" s="1"/>
  <c r="A23" i="16"/>
  <c r="A24" i="16" s="1"/>
  <c r="K23" i="12" l="1"/>
  <c r="L23" i="12" s="1"/>
  <c r="N23" i="12" s="1"/>
  <c r="A25" i="16"/>
  <c r="A26" i="16" s="1"/>
  <c r="K24" i="12" l="1"/>
  <c r="L24" i="12" s="1"/>
  <c r="N24" i="12" s="1"/>
  <c r="A27" i="16"/>
  <c r="A28" i="16" s="1"/>
  <c r="A29" i="16" s="1"/>
  <c r="A34" i="16" s="1"/>
  <c r="A35" i="16" s="1"/>
  <c r="H28" i="16"/>
  <c r="K25" i="12" l="1"/>
  <c r="L25" i="12" s="1"/>
  <c r="N25" i="12" s="1"/>
  <c r="A36" i="16"/>
  <c r="A37" i="16" s="1"/>
  <c r="A38" i="16" s="1"/>
  <c r="A39" i="16" s="1"/>
  <c r="A40" i="16" s="1"/>
  <c r="A41" i="16" s="1"/>
  <c r="K26" i="12" l="1"/>
  <c r="L26" i="12" s="1"/>
  <c r="N26" i="12" s="1"/>
  <c r="A42" i="16"/>
  <c r="A43" i="16" s="1"/>
  <c r="A44" i="16" s="1"/>
  <c r="A45" i="16" s="1"/>
  <c r="A46" i="16" s="1"/>
  <c r="A47" i="16" s="1"/>
  <c r="A48" i="16" s="1"/>
  <c r="A49" i="16" s="1"/>
  <c r="H41" i="16"/>
  <c r="K27" i="12" l="1"/>
  <c r="L27" i="12" s="1"/>
  <c r="A50" i="16"/>
  <c r="A51" i="16" s="1"/>
  <c r="A52" i="16" s="1"/>
  <c r="A53" i="16" s="1"/>
  <c r="A54" i="16" s="1"/>
  <c r="H49" i="16"/>
  <c r="N27" i="12" l="1"/>
  <c r="K28" i="12" s="1"/>
  <c r="L28" i="12" s="1"/>
  <c r="N28" i="12" s="1"/>
  <c r="K29" i="12" s="1"/>
  <c r="L29" i="12" s="1"/>
  <c r="N29" i="12" s="1"/>
  <c r="K30" i="12" s="1"/>
  <c r="G15" i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L30" i="12" l="1"/>
  <c r="L31" i="12" s="1"/>
  <c r="N30" i="12" l="1"/>
  <c r="C19" i="15" s="1"/>
  <c r="C23" i="15" l="1"/>
  <c r="C27" i="15" s="1"/>
  <c r="C20" i="16"/>
  <c r="C42" i="15"/>
  <c r="C48" i="15" l="1"/>
  <c r="C52" i="15" s="1"/>
  <c r="C43" i="16"/>
  <c r="C24" i="16"/>
  <c r="C28" i="16" s="1"/>
  <c r="G28" i="16" s="1"/>
  <c r="G20" i="16"/>
  <c r="G24" i="16" s="1"/>
  <c r="D18" i="26" l="1"/>
  <c r="D13" i="1"/>
  <c r="C49" i="16"/>
  <c r="C53" i="16" s="1"/>
  <c r="G53" i="16" s="1"/>
  <c r="G43" i="16"/>
  <c r="G49" i="16" s="1"/>
  <c r="G18" i="26" l="1"/>
  <c r="F18" i="26"/>
  <c r="D19" i="26"/>
  <c r="D20" i="26" s="1"/>
  <c r="D21" i="26" s="1"/>
  <c r="D22" i="26" s="1"/>
  <c r="D23" i="26" s="1"/>
  <c r="D24" i="26" s="1"/>
  <c r="D25" i="26" s="1"/>
  <c r="D26" i="26" s="1"/>
  <c r="D27" i="26" s="1"/>
  <c r="D28" i="26" s="1"/>
  <c r="D29" i="26" s="1"/>
  <c r="D66" i="26" l="1"/>
  <c r="H18" i="26"/>
  <c r="F19" i="26" s="1"/>
  <c r="G19" i="26" s="1"/>
  <c r="H19" i="26" s="1"/>
  <c r="F20" i="26" s="1"/>
  <c r="G20" i="26" s="1"/>
  <c r="H20" i="26" s="1"/>
  <c r="F21" i="26" s="1"/>
  <c r="G21" i="26" s="1"/>
  <c r="H21" i="26" s="1"/>
  <c r="F22" i="26" l="1"/>
  <c r="G22" i="26" s="1"/>
  <c r="H22" i="26" l="1"/>
  <c r="F23" i="26" s="1"/>
  <c r="G23" i="26" s="1"/>
  <c r="H23" i="26" s="1"/>
  <c r="F24" i="26" s="1"/>
  <c r="G24" i="26" s="1"/>
  <c r="H24" i="26" s="1"/>
  <c r="F25" i="26" s="1"/>
  <c r="G25" i="26" s="1"/>
  <c r="H25" i="26" s="1"/>
  <c r="F26" i="26" l="1"/>
  <c r="G26" i="26" s="1"/>
  <c r="H26" i="26" s="1"/>
  <c r="F27" i="26" s="1"/>
  <c r="G27" i="26" s="1"/>
  <c r="H27" i="26" s="1"/>
  <c r="F28" i="26" s="1"/>
  <c r="G28" i="26" s="1"/>
  <c r="H28" i="26" s="1"/>
  <c r="F29" i="26" s="1"/>
  <c r="G29" i="26" s="1"/>
  <c r="H29" i="26" s="1"/>
  <c r="F30" i="26" s="1"/>
  <c r="G30" i="26" s="1"/>
  <c r="H30" i="26" s="1"/>
  <c r="F31" i="26" s="1"/>
  <c r="G31" i="26" s="1"/>
  <c r="H31" i="26" s="1"/>
  <c r="F32" i="26" l="1"/>
  <c r="G32" i="26" s="1"/>
  <c r="H32" i="26" s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s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s="1"/>
  <c r="F41" i="26" l="1"/>
  <c r="G41" i="26" s="1"/>
  <c r="H41" i="26" s="1"/>
  <c r="F42" i="26" l="1"/>
  <c r="G42" i="26" s="1"/>
  <c r="H42" i="26" s="1"/>
  <c r="F43" i="26" l="1"/>
  <c r="G43" i="26" s="1"/>
  <c r="H43" i="26" s="1"/>
  <c r="F44" i="26" l="1"/>
  <c r="G44" i="26" s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l="1"/>
  <c r="G48" i="26" s="1"/>
  <c r="H48" i="26" s="1"/>
  <c r="F49" i="26" l="1"/>
  <c r="G49" i="26" s="1"/>
  <c r="H49" i="26" s="1"/>
  <c r="F50" i="26" l="1"/>
  <c r="G50" i="26" s="1"/>
  <c r="H50" i="26" s="1"/>
  <c r="F51" i="26" l="1"/>
  <c r="G51" i="26" s="1"/>
  <c r="H51" i="26" s="1"/>
  <c r="F52" i="26" l="1"/>
  <c r="G52" i="26" s="1"/>
  <c r="H52" i="26" s="1"/>
  <c r="F53" i="26" l="1"/>
  <c r="G53" i="26" s="1"/>
  <c r="H53" i="26" l="1"/>
  <c r="F54" i="26" l="1"/>
  <c r="G54" i="26" l="1"/>
  <c r="H54" i="26" s="1"/>
  <c r="F55" i="26" l="1"/>
  <c r="G55" i="26" s="1"/>
  <c r="H55" i="26" l="1"/>
  <c r="F56" i="26" s="1"/>
  <c r="G56" i="26" l="1"/>
  <c r="H56" i="26" s="1"/>
  <c r="F57" i="26" l="1"/>
  <c r="G57" i="26" s="1"/>
  <c r="H57" i="26" l="1"/>
  <c r="F58" i="26" l="1"/>
  <c r="G58" i="26" s="1"/>
  <c r="H58" i="26" l="1"/>
  <c r="F59" i="26" l="1"/>
  <c r="G59" i="26" s="1"/>
  <c r="H59" i="26" l="1"/>
  <c r="F60" i="26" l="1"/>
  <c r="G60" i="26" l="1"/>
  <c r="H60" i="26" s="1"/>
  <c r="F61" i="26" l="1"/>
  <c r="G61" i="26" l="1"/>
  <c r="H61" i="26" s="1"/>
  <c r="F62" i="26" l="1"/>
  <c r="G62" i="26" s="1"/>
  <c r="H62" i="26" s="1"/>
  <c r="F63" i="26" l="1"/>
  <c r="G63" i="26" s="1"/>
  <c r="H63" i="26" l="1"/>
  <c r="F64" i="26" l="1"/>
  <c r="G64" i="26" s="1"/>
  <c r="H64" i="26" l="1"/>
  <c r="F65" i="26" l="1"/>
  <c r="G65" i="26" s="1"/>
  <c r="G66" i="26" s="1"/>
  <c r="D15" i="1" s="1"/>
  <c r="D17" i="1" s="1"/>
  <c r="D21" i="1" s="1"/>
  <c r="H65" i="26" l="1"/>
</calcChain>
</file>

<file path=xl/sharedStrings.xml><?xml version="1.0" encoding="utf-8"?>
<sst xmlns="http://schemas.openxmlformats.org/spreadsheetml/2006/main" count="1890" uniqueCount="643">
  <si>
    <t>San Diego Gas &amp; Electric Company</t>
  </si>
  <si>
    <t xml:space="preserve">Citizen's Share of the Sunrise - Border East-Line </t>
  </si>
  <si>
    <t>Derivation of Other Adjustments Applicable to Appendix X Cycle 10</t>
  </si>
  <si>
    <t>($1,000)</t>
  </si>
  <si>
    <t>Line</t>
  </si>
  <si>
    <t>No.</t>
  </si>
  <si>
    <t>Description</t>
  </si>
  <si>
    <t>Amounts</t>
  </si>
  <si>
    <t>Reference</t>
  </si>
  <si>
    <t>Other Cost Adjustments due to Appendix X Cycle 10 Cost Adjustments Calculation:</t>
  </si>
  <si>
    <t>Total Annual Costs Citizens' Share of the Border East Line - Before Interest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</si>
  <si>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</si>
  <si>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</si>
  <si>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</si>
  <si>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</si>
  <si>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</si>
  <si>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</si>
  <si>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</si>
  <si>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 xml:space="preserve">Section C.6a of the Citizens Sunrise Protocols provides a mechanism for SDG&amp;E to correct errors that affected the Appendix X costs in a previous Informational </t>
  </si>
  <si>
    <t>SAN DIEGO GAS &amp; ELECTRIC COMPANY</t>
  </si>
  <si>
    <t>CITIZENS' SHARE OF THE SUNRISE - BORDER-EAST LINE</t>
  </si>
  <si>
    <t>A</t>
  </si>
  <si>
    <t>B</t>
  </si>
  <si>
    <t>C = A - B</t>
  </si>
  <si>
    <t>Revised - Appendix X Cycle 10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</si>
  <si>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</si>
  <si>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</si>
  <si>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</si>
  <si>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</si>
  <si>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</si>
  <si>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</si>
  <si>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</si>
  <si>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</si>
  <si>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</si>
  <si>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</si>
  <si>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</si>
  <si>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</si>
  <si>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</si>
  <si>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</si>
  <si>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</si>
  <si>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</si>
  <si>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</si>
  <si>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</si>
  <si>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</si>
  <si>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</si>
  <si>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</si>
  <si>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</si>
  <si>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</si>
  <si>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</si>
  <si>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</si>
  <si>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</si>
  <si>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</si>
  <si>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</si>
  <si>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</si>
  <si>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</si>
  <si>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Items in bold have changed compared to the original Sunrise Appendix X Cycle 10 filing per ER22-139.</t>
  </si>
  <si>
    <t>CITIZENS' SHARE OF THE BORDER EAST LINE</t>
  </si>
  <si>
    <t>Summary of Cost Components</t>
  </si>
  <si>
    <t>Rate Effective Period January 1, 2022 to December 31, 2022</t>
  </si>
  <si>
    <t>Section 1; Page 1; Line 17</t>
  </si>
  <si>
    <t>Section 2; Page 1; Line 25</t>
  </si>
  <si>
    <t>Section 3; Page 1; Line 31</t>
  </si>
  <si>
    <t>Total Citizens Annual Prior Year Cost of Service</t>
  </si>
  <si>
    <t>Sum Lines 1, 3, 5</t>
  </si>
  <si>
    <t>Section 4; Page TU; Col. 11; Line 21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</si>
  <si>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</si>
  <si>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</si>
  <si>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</si>
  <si>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</si>
  <si>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</si>
  <si>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</si>
  <si>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Base Period &amp; True-Up Period 12 - Months Ending December 31, 2020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</si>
  <si>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</si>
  <si>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</si>
  <si>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</si>
  <si>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</si>
  <si>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</si>
  <si>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</si>
  <si>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</si>
  <si>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</si>
  <si>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</si>
  <si>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</si>
  <si>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</si>
  <si>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</si>
  <si>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</si>
  <si>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</si>
  <si>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</si>
  <si>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</si>
  <si>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</si>
  <si>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</si>
  <si>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</si>
  <si>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>Statement AH; Line 18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</si>
  <si>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</si>
  <si>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</si>
  <si>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</si>
  <si>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</si>
  <si>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</si>
  <si>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</si>
  <si>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</si>
  <si>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</si>
  <si>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</si>
  <si>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</si>
  <si>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</si>
  <si>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</si>
  <si>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</si>
  <si>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</si>
  <si>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</si>
  <si>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</si>
  <si>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</si>
  <si>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</si>
  <si>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</si>
  <si>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</si>
  <si>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</si>
  <si>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</si>
  <si>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</si>
  <si>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</si>
  <si>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</si>
  <si>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Statement AV2; Line 31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</si>
  <si>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</si>
  <si>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</si>
  <si>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</si>
  <si>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</si>
  <si>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</si>
  <si>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</si>
  <si>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</si>
  <si>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</si>
  <si>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</si>
  <si>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</si>
  <si>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</si>
  <si>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</si>
  <si>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</si>
  <si>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</si>
  <si>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</si>
  <si>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</si>
  <si>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</si>
  <si>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</si>
  <si>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</si>
  <si>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</si>
  <si>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</si>
  <si>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True-Up Period - January 1, 2020 to December 31, 2020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</si>
  <si>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</si>
  <si>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</si>
  <si>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</si>
  <si>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</si>
  <si>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</si>
  <si>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</si>
  <si>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</si>
  <si>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</si>
  <si>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</si>
  <si>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</si>
  <si>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</si>
  <si>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</si>
  <si>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</si>
  <si>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</si>
  <si>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</si>
  <si>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</si>
  <si>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</si>
  <si>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</si>
  <si>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</si>
  <si>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</si>
  <si>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</si>
  <si>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</si>
  <si>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</si>
  <si>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</si>
  <si>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</si>
  <si>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</si>
  <si>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</si>
  <si>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</si>
  <si>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</si>
  <si>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</si>
  <si>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</si>
  <si>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</si>
  <si>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</si>
  <si>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</si>
  <si>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</si>
  <si>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</si>
  <si>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</si>
  <si>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</si>
  <si>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</si>
  <si>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</si>
  <si>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</si>
  <si>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</si>
  <si>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</si>
  <si>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</si>
  <si>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</si>
  <si>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</si>
  <si>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</si>
  <si>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</si>
  <si>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</si>
  <si>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</si>
  <si>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</si>
  <si>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</si>
  <si>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</si>
  <si>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</si>
  <si>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</si>
  <si>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</si>
  <si>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</si>
  <si>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</si>
  <si>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AH-1; Line 50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</si>
  <si>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</si>
  <si>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</si>
  <si>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</si>
  <si>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</si>
  <si>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</si>
  <si>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</si>
  <si>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</si>
  <si>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</si>
  <si>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</si>
  <si>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</si>
  <si>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Underground Line Expense</t>
  </si>
  <si>
    <t>Negative of AH-2; Line 47; Col. b</t>
  </si>
  <si>
    <t xml:space="preserve">   Transmission of Electricity by Others</t>
  </si>
  <si>
    <t>Negative of AH-2; Line 48; Col. b</t>
  </si>
  <si>
    <t xml:space="preserve">   Miscellaneous Transmission Expense </t>
  </si>
  <si>
    <t>Negative of AH-2; Line 56; Col. b</t>
  </si>
  <si>
    <t xml:space="preserve">   Maintenance of Station Equipment</t>
  </si>
  <si>
    <t>Negative of AH-2; Line 57; Col. b</t>
  </si>
  <si>
    <t xml:space="preserve">   Maintenance of Overhead Lines</t>
  </si>
  <si>
    <t>Negative of AH-2; Line 58; Col. b</t>
  </si>
  <si>
    <t xml:space="preserve">   Maintenance of Underground Lines</t>
  </si>
  <si>
    <t>Negative of AH-2; Line 59; Col. b</t>
  </si>
  <si>
    <t xml:space="preserve">   Other Transmission Non-Direct O&amp;M Exclusion Adjustments </t>
  </si>
  <si>
    <t xml:space="preserve">Negative of AH-2; Line 43; Col. b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</si>
  <si>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</si>
  <si>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</si>
  <si>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</si>
  <si>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AH-3; Line 21; Col. a</t>
  </si>
  <si>
    <t>Adjustments to Per Book A&amp;G Expense:</t>
  </si>
  <si>
    <t xml:space="preserve"> </t>
  </si>
  <si>
    <t xml:space="preserve">   Abandoned Projects</t>
  </si>
  <si>
    <t>Negative of AH-3; Line 52; Col. a</t>
  </si>
  <si>
    <t xml:space="preserve">   CPUC energy efficiency programs</t>
  </si>
  <si>
    <t xml:space="preserve">Negative of AH-3; Sum Lines 25, 28, 32, 38, 41, 46, 55; Col. a </t>
  </si>
  <si>
    <t xml:space="preserve">   CPUC Intervenor Funding Expense - Transmission</t>
  </si>
  <si>
    <t>Negative of AH-3; Line 48; Col. a</t>
  </si>
  <si>
    <t xml:space="preserve">   CPUC Intervenor Funding Expense - Distribution</t>
  </si>
  <si>
    <t>Negative of AH-3; Line 49; Col. a</t>
  </si>
  <si>
    <t xml:space="preserve">   CPUC reimbursement fees</t>
  </si>
  <si>
    <t>Negative of AH-3; Line 45; Col. a</t>
  </si>
  <si>
    <t xml:space="preserve">   Injuries &amp; Damages</t>
  </si>
  <si>
    <t>Not Applicable to 2020 Base Period</t>
  </si>
  <si>
    <t xml:space="preserve">   General Advertising Expenses </t>
  </si>
  <si>
    <t>Negative of AH-3; Line 51; Col. b</t>
  </si>
  <si>
    <t xml:space="preserve">   Franchise Requirements</t>
  </si>
  <si>
    <t>Negative of AH-3; Line 44; Col. b</t>
  </si>
  <si>
    <t xml:space="preserve">   Hazardous substances - Hazardous Substance Cleanup Cost Account</t>
  </si>
  <si>
    <t>Negative of AH-3; Line 56; Col. a</t>
  </si>
  <si>
    <t xml:space="preserve">   Litigation expenses - Litigation Cost Memorandum Account (LCMA)</t>
  </si>
  <si>
    <t xml:space="preserve">Negative of AH-3; Line 47; Col. a   </t>
  </si>
  <si>
    <t xml:space="preserve">   Other A&amp;G Exclusion Adjustments</t>
  </si>
  <si>
    <t>Negative of AH-3; Sum Lines 26, 27, 29, 30, 33, 34, 35, 36, 37, 39, 40, 42, 43, 50, 53, 54; Col. a and Line 31; Col. b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</si>
  <si>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</si>
  <si>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</si>
  <si>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</si>
  <si>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</si>
  <si>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</si>
  <si>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</si>
  <si>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</si>
  <si>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</si>
  <si>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</si>
  <si>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</si>
  <si>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</si>
  <si>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</si>
  <si>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</si>
  <si>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</si>
  <si>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</si>
  <si>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</si>
  <si>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</si>
  <si>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</si>
  <si>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</si>
  <si>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</si>
  <si>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</si>
  <si>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</si>
  <si>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</si>
  <si>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</si>
  <si>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</si>
  <si>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</si>
  <si>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</si>
  <si>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</si>
  <si>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</si>
  <si>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</si>
  <si>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</si>
  <si>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</si>
  <si>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</si>
  <si>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</si>
  <si>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</si>
  <si>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</si>
  <si>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 xml:space="preserve"> 12 Months Ending December 31, 2020</t>
  </si>
  <si>
    <t>(a)</t>
  </si>
  <si>
    <t>(b)</t>
  </si>
  <si>
    <t xml:space="preserve">(c) = (a) - (b) </t>
  </si>
  <si>
    <r>
      <t>(d)</t>
    </r>
    <r>
      <rPr>
        <b/>
        <vertAlign val="superscript"/>
        <sz val="12"/>
        <rFont val="Times New Roman"/>
        <family val="1"/>
      </rPr>
      <t xml:space="preserve"> </t>
    </r>
  </si>
  <si>
    <t>(e) = (c) + (d)</t>
  </si>
  <si>
    <t>FERC</t>
  </si>
  <si>
    <t>Total</t>
  </si>
  <si>
    <t>Excluded</t>
  </si>
  <si>
    <t xml:space="preserve">Add / (Deduct) </t>
  </si>
  <si>
    <t>Revised</t>
  </si>
  <si>
    <t>Acct</t>
  </si>
  <si>
    <t>Per Books</t>
  </si>
  <si>
    <t>Expenses</t>
  </si>
  <si>
    <t>Adjusted</t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</si>
  <si>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</si>
  <si>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</si>
  <si>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</si>
  <si>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</si>
  <si>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</si>
  <si>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</si>
  <si>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</si>
  <si>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</si>
  <si>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</si>
  <si>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</si>
  <si>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</si>
  <si>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</si>
  <si>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</si>
  <si>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</si>
  <si>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</si>
  <si>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Employee Pensions &amp; Benefits</t>
  </si>
  <si>
    <t>Form 1; Page 323; Line 187</t>
  </si>
  <si>
    <t xml:space="preserve">Franchise Requirements </t>
  </si>
  <si>
    <t>Form 1; Page 323; Line 188</t>
  </si>
  <si>
    <t xml:space="preserve">Regulatory Commission Expenses  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</si>
  <si>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</si>
  <si>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</si>
  <si>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</si>
  <si>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</si>
  <si>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</si>
  <si>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</si>
  <si>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</si>
  <si>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Rents</t>
  </si>
  <si>
    <t>Form 1; Page 323; Line 193</t>
  </si>
  <si>
    <t>Maintenance of General Plant</t>
  </si>
  <si>
    <t>Form 1; Page 323; Line 196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</si>
  <si>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</si>
  <si>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</si>
  <si>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</si>
  <si>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</si>
  <si>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CPUC energy efficiency programs</t>
  </si>
  <si>
    <t>CEMA Costs</t>
  </si>
  <si>
    <t>WMPMA Costs</t>
  </si>
  <si>
    <r>
      <t xml:space="preserve">Other Exclusion - 3P Adjustment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</si>
  <si>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</si>
  <si>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 (Finding #8) </t>
    </r>
    <r>
      <rPr>
        <b/>
        <vertAlign val="superscript"/>
        <sz val="12"/>
        <rFont val="Times New Roman"/>
        <family val="1"/>
      </rPr>
      <t>3</t>
    </r>
  </si>
  <si>
    <t>Customer Information System</t>
  </si>
  <si>
    <t xml:space="preserve">CPUC reimbursement fees  </t>
  </si>
  <si>
    <t>Litigation expenses - Litigation Cost Memorandum Account (LCMA)</t>
  </si>
  <si>
    <t>CPUC Intervenor Funding Expense - Transmission</t>
  </si>
  <si>
    <t>CPUC Intervenor Funding Expense - Distribution</t>
  </si>
  <si>
    <r>
      <t xml:space="preserve">Other Exclusion - FERC Audit Adjustment (Finding #5) </t>
    </r>
    <r>
      <rPr>
        <b/>
        <vertAlign val="superscript"/>
        <sz val="12"/>
        <rFont val="Times New Roman"/>
        <family val="1"/>
      </rPr>
      <t>3</t>
    </r>
  </si>
  <si>
    <t>Abandoned Projects</t>
  </si>
  <si>
    <r>
      <t xml:space="preserve">Other Exclusion - FERC Audit Adjustment (Finding #7) </t>
    </r>
    <r>
      <rPr>
        <b/>
        <vertAlign val="superscript"/>
        <sz val="12"/>
        <rFont val="Times New Roman"/>
        <family val="1"/>
      </rPr>
      <t>3</t>
    </r>
  </si>
  <si>
    <r>
      <t xml:space="preserve">2019 Abandoned Projects Correction </t>
    </r>
    <r>
      <rPr>
        <b/>
        <vertAlign val="superscript"/>
        <sz val="12"/>
        <rFont val="Times New Roman"/>
        <family val="1"/>
      </rPr>
      <t>4</t>
    </r>
  </si>
  <si>
    <t xml:space="preserve">CPUC energy efficiency programs  </t>
  </si>
  <si>
    <t xml:space="preserve">Hazardous Substances-Hazardous Substance Cleanup Cost Account </t>
  </si>
  <si>
    <t>Total Excluded Expenses</t>
  </si>
  <si>
    <t>This amount represents the Non-Direct A&amp;G expenses billed to Citizens in 2020, which is added back to derive Total Adjusted A&amp;G Expenses in SAP</t>
  </si>
  <si>
    <t>Account 7000717, which was created to track Citizens Border East Line A&amp;G Expense.</t>
  </si>
  <si>
    <t>2</t>
  </si>
  <si>
    <t>Represents reclassification of 2018 and 2019 3P (People, Process, Priorities) project costs from O&amp;M FERC Accounts 560, 566, 580, and 588 to A&amp;G FERC</t>
  </si>
  <si>
    <t>Account 923, in 2020. Entries are excluded here and reflected as an "Other Adjustments" in Cycle 10 (see separate Cost Adjustment workpapers).</t>
  </si>
  <si>
    <t>3</t>
  </si>
  <si>
    <t>Adjusting journal entries related to prior year O&amp;M and A&amp;G costs (2016 - 2019) that resulted from the 2020 FERC Audit are excluded from Appendix X Cycle 10.</t>
  </si>
  <si>
    <t>The impacts of the adjusting entries is reflected in the per book amount and were excluded from the adjusted 2020 total. The impact of FERC Audit adjustments</t>
  </si>
  <si>
    <t>and corresponding refunds will be accounted for in a separate refund analysis filed with FERC.</t>
  </si>
  <si>
    <t>4</t>
  </si>
  <si>
    <t>Represents reclassification of 2019 abandoned project costs from A&amp;G FERC Account 930.2 to FERC Account 426.5. Entry is excluded here and reflected as</t>
  </si>
  <si>
    <t>an "Other Adjustments" in Cycle 10 (see separate Cost Adjustment workpapers).</t>
  </si>
  <si>
    <t>Removal of EPRI dues from Appendix X Cycle 10 and going forward per response to Six Cities protest.</t>
  </si>
  <si>
    <t>Add back of credit balance included in FERC account 930.2 related to electric vehicles or clean transportation initiatives which is a balancing account.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</si>
  <si>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</si>
  <si>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</si>
  <si>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</si>
  <si>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</si>
  <si>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</si>
  <si>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</si>
  <si>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  <r>
      <rPr>
        <vertAlign val="superscript"/>
        <sz val="12"/>
        <rFont val="Times New Roman"/>
        <family val="1"/>
      </rPr>
      <t>,</t>
    </r>
    <r>
      <rPr>
        <b/>
        <vertAlign val="superscript"/>
        <sz val="12"/>
        <rFont val="Times New Roman"/>
        <family val="1"/>
      </rPr>
      <t>2</t>
    </r>
  </si>
  <si>
    <t>450.1; Sch. Pg. 227; 12; c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</si>
  <si>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</si>
  <si>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</si>
  <si>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</si>
  <si>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</si>
  <si>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</si>
  <si>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</si>
  <si>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</si>
  <si>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</si>
  <si>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</si>
  <si>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</si>
  <si>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</si>
  <si>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</si>
  <si>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</si>
  <si>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Statement AH; Line 40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</si>
  <si>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</si>
  <si>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</si>
  <si>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</si>
  <si>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</si>
  <si>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</si>
  <si>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</si>
  <si>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</si>
  <si>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</si>
  <si>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The 13-Month Avg. for Electric Materials &amp; Supplies included on FERC Form 1; Page 450.1; Sch. Pg. 227; Line 12; Col c is incorrect. During the preparation of the Appendix X Cycle 10 filing,</t>
  </si>
  <si>
    <t>an error was identified in the allocation used to prepare the footnote. The 13-Month Avg. included in Appendix X Cycle 10 is the correct amount.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</si>
  <si>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</si>
  <si>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</si>
  <si>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</si>
  <si>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</si>
  <si>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</si>
  <si>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</si>
  <si>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</si>
  <si>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</si>
  <si>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</si>
  <si>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</si>
  <si>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</si>
  <si>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</si>
  <si>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</si>
  <si>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</si>
  <si>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</si>
  <si>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</si>
  <si>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</si>
  <si>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</si>
  <si>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</si>
  <si>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</si>
  <si>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</si>
  <si>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</si>
  <si>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</si>
  <si>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</si>
  <si>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</si>
  <si>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</si>
  <si>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</si>
  <si>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</si>
  <si>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</si>
  <si>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</si>
  <si>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</si>
  <si>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</si>
  <si>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</si>
  <si>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</si>
  <si>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</si>
  <si>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</si>
  <si>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</si>
  <si>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</si>
  <si>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</si>
  <si>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</si>
  <si>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</si>
  <si>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</si>
  <si>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</si>
  <si>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</si>
  <si>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</si>
  <si>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</si>
  <si>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</si>
  <si>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</si>
  <si>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</si>
  <si>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</si>
  <si>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</si>
  <si>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</si>
  <si>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</si>
  <si>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</si>
  <si>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</si>
  <si>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</si>
  <si>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</si>
  <si>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</si>
  <si>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</si>
  <si>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</si>
  <si>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</si>
  <si>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</si>
  <si>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</si>
  <si>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</si>
  <si>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</si>
  <si>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</si>
  <si>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</si>
  <si>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</si>
  <si>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</si>
  <si>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</si>
  <si>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</si>
  <si>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</si>
  <si>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>AV-2A; Line 40</t>
  </si>
  <si>
    <t xml:space="preserve">     D = Transmission Rate Base</t>
  </si>
  <si>
    <t>AV-4; Page 1; Line 26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</si>
  <si>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</si>
  <si>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</si>
  <si>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</si>
  <si>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</si>
  <si>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</si>
  <si>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</si>
  <si>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</si>
  <si>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</si>
  <si>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</si>
  <si>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</si>
  <si>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</si>
  <si>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</si>
  <si>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</si>
  <si>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</si>
  <si>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</si>
  <si>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</si>
  <si>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</si>
  <si>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</si>
  <si>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</si>
  <si>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</si>
  <si>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</si>
  <si>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</si>
  <si>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</si>
  <si>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</si>
  <si>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</si>
  <si>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</si>
  <si>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</si>
  <si>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</si>
  <si>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</si>
  <si>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</si>
  <si>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</si>
  <si>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</si>
  <si>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</si>
  <si>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</si>
  <si>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</si>
  <si>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</si>
  <si>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</si>
  <si>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</si>
  <si>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</si>
  <si>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</si>
  <si>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</si>
  <si>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</si>
  <si>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</si>
  <si>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</si>
  <si>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</si>
  <si>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</si>
  <si>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</si>
  <si>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</si>
  <si>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</si>
  <si>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</si>
  <si>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</si>
  <si>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</si>
  <si>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</si>
  <si>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</si>
  <si>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</si>
  <si>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</si>
  <si>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</si>
  <si>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</si>
  <si>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</si>
  <si>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</si>
  <si>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</si>
  <si>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</si>
  <si>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</si>
  <si>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</si>
  <si>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</si>
  <si>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</si>
  <si>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</si>
  <si>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</si>
  <si>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</si>
  <si>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</si>
  <si>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</si>
  <si>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</si>
  <si>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</si>
  <si>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</si>
  <si>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Statement AD; Line 11</t>
  </si>
  <si>
    <t>Transmission Related Electric Misc. Intangible Plant</t>
  </si>
  <si>
    <t>Statement AD; Line 27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</si>
  <si>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</si>
  <si>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</si>
  <si>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</si>
  <si>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</si>
  <si>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</si>
  <si>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</si>
  <si>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</si>
  <si>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</si>
  <si>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</si>
  <si>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</si>
  <si>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</si>
  <si>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</si>
  <si>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</si>
  <si>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</si>
  <si>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</si>
  <si>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</si>
  <si>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</si>
  <si>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</si>
  <si>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</si>
  <si>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</si>
  <si>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</si>
  <si>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</si>
  <si>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Derivation of Interest Expense on Other Adjustments Applicable to Appendix X Cycle 10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</si>
  <si>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</si>
  <si>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</si>
  <si>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</si>
  <si>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</si>
  <si>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</si>
  <si>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</si>
  <si>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</si>
  <si>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</si>
  <si>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(f)</t>
  </si>
  <si>
    <t>(g) = (e) + (f)</t>
  </si>
  <si>
    <t>Addtl A&amp;G</t>
  </si>
  <si>
    <t xml:space="preserve">   Other Cost Adjustments (included in Appendix X Cycle 11; ER23-109)</t>
  </si>
  <si>
    <r>
      <t xml:space="preserve">Appendix X Cycle 12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</si>
  <si>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Source: Orig. Filing; Appendix X Cycle 10; Summary of Cost Components; ER22-139</t>
  </si>
  <si>
    <t>Statement AH; Line 41</t>
  </si>
  <si>
    <t>AH-3; Line 20; Col. d</t>
  </si>
  <si>
    <t>Items in BOLD have changed due to A&amp;G adjustments as compared to the original Sunrise Appendix X Cycle 10 filing per ER22-139.</t>
  </si>
  <si>
    <t>Reversal of A&amp;G exclusion on FERC Audit Finding #7 in the originally filed TO5 Cycle 4 filing. The total amount that should have been excluded in 2020 A&amp;G for the 2016 to 2019 is shown in footnote 7.</t>
  </si>
  <si>
    <t xml:space="preserve">Appendix X Cycle 12 Annual Informational Filing </t>
  </si>
  <si>
    <t>w/o Interest</t>
  </si>
  <si>
    <t>Represents FERC Audit adjusting entry on Finding #7 - accounting for donations &amp; lobbying expenses related to prior year A&amp;G costs (2016 - 2019) credited in the 2020 balances that was missed in prior year cost adjustment filings</t>
  </si>
  <si>
    <t>resulting from the 2020 FERC Audit that should be added back in the TO5 Cycle 4 A&amp;G. The impact of FERC audit adjustments and corresponding refunds will be accounted for in a separate FERC Audit refund analysis files with FERC.</t>
  </si>
  <si>
    <t xml:space="preserve">Items in BOLD have changed due to A&amp;G adjustments and removal of CIAC related ADIT per SDG&amp;E's TO5 Cycle 4 Letter Order determination in ER22-527 as compared </t>
  </si>
  <si>
    <t>to the original Sunrise Appendix X Cycle 10 filing per ER22-139.</t>
  </si>
  <si>
    <t>Adj</t>
  </si>
  <si>
    <t>A&amp;G</t>
  </si>
  <si>
    <t>Posted FERC Interest rates</t>
  </si>
  <si>
    <t>CEMA/WMPMA exclusion corrections</t>
  </si>
  <si>
    <t>2020 CEMA/WMPMA exclusion corrections.</t>
  </si>
  <si>
    <t>Pg5 Rev Section 2; Page 1; Line 25</t>
  </si>
  <si>
    <t>Pg7 Rev Section 4; Page TU; Col. 11; Line 21</t>
  </si>
  <si>
    <t>Page 14; Line 57; Col. 5</t>
  </si>
  <si>
    <t>Pg8 Rev Stmt AH; Line 41</t>
  </si>
  <si>
    <t>Pg9 Rev Stmt AL; Line 19</t>
  </si>
  <si>
    <t>Pg10 Rev Stmnt AV; Page 2; Line 31</t>
  </si>
  <si>
    <t>Pg8.2 Negative of Rev AH-3; Line 56; Col. a</t>
  </si>
  <si>
    <t>Pg12 Rev AV-4; Page 1; Line 26</t>
  </si>
  <si>
    <t>Pg8.2 Rev AH-3; Line 23; Col. a</t>
  </si>
  <si>
    <t>Pg8.2 Negative of Rev AH-3; Line 60; Col. a</t>
  </si>
  <si>
    <t xml:space="preserve">Pg8.2 Negative of Rev AH-3; Sum Lines 27, 31, 37, 44, 48, 54, 63; Col. a </t>
  </si>
  <si>
    <t>Pg8.2 Negative of Rev AH-3; Line 57; Col. a</t>
  </si>
  <si>
    <t>Pg8.2 Negative of Rev AH-3; Line 53; Col. a</t>
  </si>
  <si>
    <t>Pg8.2 Negative of Rev AH-3; Line 59; Col. b</t>
  </si>
  <si>
    <t xml:space="preserve">Pg8.2 Negative of Rev AH-3; Line 55; Col. a   </t>
  </si>
  <si>
    <t>Pg8.2 Negative of Rev AH-3; Sum Lines 28, 29, 32, 33, 35, 38, 39, 40, 41, 42, 45, 46, 49, 50, 58, 62; Col. a and Line 35; Col. b</t>
  </si>
  <si>
    <t>Pg8.2 Rev AH-3; Line 23; Col. d</t>
  </si>
  <si>
    <t>Pg8.2 Rev AH-3; Line 23; Col. f</t>
  </si>
  <si>
    <t>Pg8.2 Negative of Rev AH-3; Line 52; Col. b</t>
  </si>
  <si>
    <t>Pg8.2 Negative of Rev AH-3; Line 64; Col. a</t>
  </si>
  <si>
    <t>Pg8.2 Negative of Rev AH-3; Line 7; Col. c</t>
  </si>
  <si>
    <t>and cost adj. incl. in Appendix X Cycle 11 per ER23-109.</t>
  </si>
  <si>
    <t>Items in BOLD have changed due to A&amp;G adj. missed in prior cost adj. and CEMA/WMPMA exclusion corrections compared to the original Sunrise Appendix X Cycle 10 per ER22-139</t>
  </si>
  <si>
    <t>Items in BOLD have changed due to A&amp;G adj. missed in prior cost adj. and CEMA/WMPMA exclusion corrections compared to the original Sunrise Appendix X Cycle 10</t>
  </si>
  <si>
    <t>per ER22-139 and cost adj. incl. in Appendix X Cycle 11 per ER23-109.</t>
  </si>
  <si>
    <t xml:space="preserve">Items in BOLD have changed due to A&amp;G adj. missed in prior cost adj. and CEMA/WMPMA exclusion corrections compared to the original Sunrise Appendix X Cycle 10 per </t>
  </si>
  <si>
    <t>ER22-139 and cost adj. incl. in Appendix X Cycle 11 per ER23-109.</t>
  </si>
  <si>
    <t>Items in BOLD have changed due to A&amp;G adj. missed in prior cost adj. and CEMA/WMPMA exclusion corrections compared to the original Sunrise Appendix X Cycle 10 per ER22-139 and cost adj. incl. in Appendix X Cycle 11 per ER23-109.</t>
  </si>
  <si>
    <t>Filing. In this Appendix X Cycle 12 Informational Filing, SDG&amp;E is correcting Appendix X Cycle 10 for approximately $68K for 2020 adjustments to A&amp;G.</t>
  </si>
  <si>
    <t>As Filed - Appendix X Cycle 10 ER22-139 and ER23-109</t>
  </si>
  <si>
    <t>Source: As Filed Appendix X Cycle 10 Cost Adj.; incl. in App. X C11 (ER23-109)</t>
  </si>
  <si>
    <t>Source: As Filed Appendix X Cycle 10 Cost Adj; AH-3 incl. in App. X C11 (ER23-109)</t>
  </si>
  <si>
    <t>Source: As Filed Appendix X Cycle 10 Cost Adj; Rev. Stmt AH incl. in App. X C11 (ER23-109)</t>
  </si>
  <si>
    <t>Source: As Filed Appendix X Cycle 10 Cost Adj; Rev. Stmt AL incl. in App. X C11 (ER23-109)</t>
  </si>
  <si>
    <t>Source: As Filed Appendix X Cycle 10 Cost Adj; Rev Stmt AV incl. in App. X C11 (ER23-109)</t>
  </si>
  <si>
    <t>Source: As Filed Appendix X Cycle 10 Cost Adj; Rev Stmt AV-4 incl. in App. X C11 (ER23-109)</t>
  </si>
  <si>
    <t>Source: As Filed Appendix X Cycle 10 Cost Adj; Rev. D. Sec.4-TU incl. in App. X C11 (ER23-109)</t>
  </si>
  <si>
    <t>Source: As Filed Appendix X Cycle 10 Cost Adj; Rev. Sec.2-Non-Direct Exp incl. in App. X C11 (ER23-109)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</si>
</sst>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3"/>
      <name val="Times New Roman"/>
      <family val="1"/>
    </font>
    <font>
      <sz val="12"/>
      <color rgb="FF0000FF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  <font>
      <sz val="12"/>
      <name val="Calibri"/>
      <family val="2"/>
    </font>
    <font>
      <b/>
      <vertAlign val="superscript"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30" fillId="5" borderId="0"/>
    <xf numFmtId="0" fontId="1" fillId="0" borderId="0"/>
  </cellStyleXfs>
  <cellXfs count="826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37" fontId="9" fillId="0" borderId="0" xfId="0" applyNumberFormat="1" applyFont="1"/>
    <xf numFmtId="164" fontId="5" fillId="0" borderId="1" xfId="2" applyNumberFormat="1" applyFont="1" applyBorder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0" borderId="0" xfId="2" applyNumberFormat="1" applyFont="1" applyFill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8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6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8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2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3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0" fontId="18" fillId="0" borderId="27" xfId="0" applyFont="1" applyBorder="1" applyAlignment="1">
      <alignment horizontal="center"/>
    </xf>
    <xf numFmtId="164" fontId="5" fillId="0" borderId="28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65" fontId="9" fillId="0" borderId="13" xfId="1" applyNumberFormat="1" applyFont="1" applyFill="1" applyBorder="1" applyAlignment="1">
      <alignment horizontal="right"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9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8" xfId="2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9" fillId="0" borderId="17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6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/>
    </xf>
    <xf numFmtId="0" fontId="5" fillId="0" borderId="11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0" fontId="5" fillId="0" borderId="23" xfId="11" applyFont="1" applyBorder="1"/>
    <xf numFmtId="10" fontId="5" fillId="0" borderId="13" xfId="19" applyNumberFormat="1" applyFont="1" applyBorder="1" applyAlignment="1">
      <alignment horizont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2" xfId="11" applyFont="1" applyBorder="1" applyAlignment="1">
      <alignment horizontal="left"/>
    </xf>
    <xf numFmtId="164" fontId="9" fillId="2" borderId="13" xfId="20" applyNumberFormat="1" applyFont="1" applyFill="1" applyBorder="1" applyAlignment="1">
      <alignment horizontal="right" vertical="center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2" xfId="11" applyFont="1" applyBorder="1"/>
    <xf numFmtId="164" fontId="9" fillId="0" borderId="13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2" xfId="11" applyFont="1" applyBorder="1" applyAlignment="1">
      <alignment horizontal="left" indent="2"/>
    </xf>
    <xf numFmtId="164" fontId="5" fillId="0" borderId="13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2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3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13" xfId="11" applyNumberFormat="1" applyFont="1" applyBorder="1" applyAlignment="1">
      <alignment vertical="center"/>
    </xf>
    <xf numFmtId="170" fontId="5" fillId="0" borderId="0" xfId="11" applyNumberFormat="1" applyFont="1" applyAlignment="1">
      <alignment vertical="center"/>
    </xf>
    <xf numFmtId="164" fontId="5" fillId="0" borderId="15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6" xfId="11" applyFont="1" applyBorder="1"/>
    <xf numFmtId="0" fontId="5" fillId="0" borderId="8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2" xfId="11" applyFont="1" applyBorder="1" applyAlignment="1">
      <alignment horizontal="center"/>
    </xf>
    <xf numFmtId="0" fontId="5" fillId="0" borderId="22" xfId="11" applyFont="1" applyBorder="1"/>
    <xf numFmtId="170" fontId="9" fillId="0" borderId="13" xfId="20" applyNumberFormat="1" applyFont="1" applyFill="1" applyBorder="1" applyAlignment="1">
      <alignment horizontal="right"/>
    </xf>
    <xf numFmtId="170" fontId="9" fillId="0" borderId="0" xfId="20" applyNumberFormat="1" applyFont="1" applyFill="1" applyBorder="1" applyAlignment="1">
      <alignment horizontal="right"/>
    </xf>
    <xf numFmtId="170" fontId="9" fillId="0" borderId="13" xfId="11" applyNumberFormat="1" applyFont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1" fontId="5" fillId="0" borderId="13" xfId="1" applyNumberFormat="1" applyFont="1" applyFill="1" applyBorder="1" applyAlignment="1">
      <alignment horizontal="right"/>
    </xf>
    <xf numFmtId="165" fontId="9" fillId="0" borderId="13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165" fontId="9" fillId="0" borderId="13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3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3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8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10" fontId="5" fillId="0" borderId="22" xfId="19" applyNumberFormat="1" applyFont="1" applyBorder="1" applyAlignment="1">
      <alignment horizontal="center"/>
    </xf>
    <xf numFmtId="10" fontId="5" fillId="0" borderId="14" xfId="19" applyNumberFormat="1" applyFont="1" applyBorder="1" applyAlignment="1">
      <alignment horizontal="center"/>
    </xf>
    <xf numFmtId="164" fontId="9" fillId="2" borderId="22" xfId="20" applyNumberFormat="1" applyFont="1" applyFill="1" applyBorder="1" applyAlignment="1">
      <alignment horizontal="right" vertical="center"/>
    </xf>
    <xf numFmtId="41" fontId="9" fillId="0" borderId="14" xfId="13" applyNumberFormat="1" applyFont="1" applyBorder="1" applyAlignment="1">
      <alignment horizontal="center"/>
    </xf>
    <xf numFmtId="164" fontId="9" fillId="0" borderId="22" xfId="11" applyNumberFormat="1" applyFont="1" applyBorder="1" applyAlignment="1">
      <alignment horizontal="right" vertical="center"/>
    </xf>
    <xf numFmtId="0" fontId="5" fillId="0" borderId="14" xfId="11" applyFont="1" applyBorder="1" applyAlignment="1">
      <alignment horizontal="center"/>
    </xf>
    <xf numFmtId="165" fontId="9" fillId="2" borderId="22" xfId="1" applyNumberFormat="1" applyFont="1" applyFill="1" applyBorder="1" applyAlignment="1">
      <alignment horizontal="right" vertical="center"/>
    </xf>
    <xf numFmtId="43" fontId="5" fillId="0" borderId="14" xfId="11" applyNumberFormat="1" applyFont="1" applyBorder="1" applyAlignment="1">
      <alignment horizontal="center"/>
    </xf>
    <xf numFmtId="164" fontId="9" fillId="0" borderId="13" xfId="2" applyNumberFormat="1" applyFont="1" applyFill="1" applyBorder="1" applyAlignment="1">
      <alignment horizontal="right" vertical="center"/>
    </xf>
    <xf numFmtId="41" fontId="5" fillId="0" borderId="14" xfId="13" applyNumberFormat="1" applyFont="1" applyBorder="1" applyAlignment="1">
      <alignment horizontal="left"/>
    </xf>
    <xf numFmtId="165" fontId="9" fillId="2" borderId="13" xfId="1" applyNumberFormat="1" applyFont="1" applyFill="1" applyBorder="1" applyAlignment="1">
      <alignment horizontal="right" vertical="center"/>
    </xf>
    <xf numFmtId="41" fontId="5" fillId="0" borderId="14" xfId="13" applyNumberFormat="1" applyFont="1" applyFill="1" applyBorder="1" applyAlignment="1">
      <alignment horizontal="left"/>
    </xf>
    <xf numFmtId="41" fontId="9" fillId="0" borderId="14" xfId="13" applyNumberFormat="1" applyFont="1" applyFill="1" applyBorder="1" applyAlignment="1">
      <alignment horizontal="center"/>
    </xf>
    <xf numFmtId="0" fontId="5" fillId="0" borderId="25" xfId="11" applyFont="1" applyBorder="1"/>
    <xf numFmtId="170" fontId="9" fillId="0" borderId="22" xfId="20" applyNumberFormat="1" applyFont="1" applyFill="1" applyBorder="1" applyAlignment="1">
      <alignment horizontal="right"/>
    </xf>
    <xf numFmtId="170" fontId="9" fillId="0" borderId="22" xfId="11" applyNumberFormat="1" applyFont="1" applyBorder="1" applyAlignment="1">
      <alignment horizontal="right"/>
    </xf>
    <xf numFmtId="0" fontId="9" fillId="0" borderId="14" xfId="11" applyFont="1" applyBorder="1" applyAlignment="1">
      <alignment horizontal="center"/>
    </xf>
    <xf numFmtId="171" fontId="9" fillId="0" borderId="22" xfId="1" applyNumberFormat="1" applyFont="1" applyFill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43" fontId="9" fillId="0" borderId="14" xfId="11" applyNumberFormat="1" applyFont="1" applyBorder="1" applyAlignment="1">
      <alignment horizontal="center"/>
    </xf>
    <xf numFmtId="165" fontId="9" fillId="0" borderId="22" xfId="1" applyNumberFormat="1" applyFont="1" applyFill="1" applyBorder="1" applyAlignment="1">
      <alignment horizontal="right"/>
    </xf>
    <xf numFmtId="41" fontId="5" fillId="0" borderId="14" xfId="13" applyNumberFormat="1" applyFont="1" applyBorder="1" applyAlignment="1">
      <alignment horizontal="center"/>
    </xf>
    <xf numFmtId="41" fontId="5" fillId="0" borderId="14" xfId="13" applyNumberFormat="1" applyFont="1" applyFill="1" applyBorder="1" applyAlignment="1">
      <alignment horizontal="center"/>
    </xf>
    <xf numFmtId="41" fontId="5" fillId="0" borderId="14" xfId="13" applyNumberFormat="1" applyFont="1" applyFill="1" applyBorder="1"/>
    <xf numFmtId="165" fontId="5" fillId="0" borderId="14" xfId="14" applyNumberFormat="1" applyFont="1" applyFill="1" applyBorder="1"/>
    <xf numFmtId="0" fontId="5" fillId="0" borderId="25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/>
    </xf>
    <xf numFmtId="0" fontId="0" fillId="0" borderId="2" xfId="0" applyBorder="1"/>
    <xf numFmtId="0" fontId="16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8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0" fontId="5" fillId="0" borderId="29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5" fillId="0" borderId="1" xfId="20" applyNumberFormat="1" applyFont="1" applyBorder="1" applyAlignment="1">
      <alignment horizontal="right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0" fontId="9" fillId="0" borderId="30" xfId="11" applyFont="1" applyBorder="1" applyAlignment="1">
      <alignment horizontal="left" vertical="center"/>
    </xf>
    <xf numFmtId="1" fontId="9" fillId="0" borderId="30" xfId="11" applyNumberFormat="1" applyFont="1" applyBorder="1" applyAlignment="1">
      <alignment horizontal="center" vertical="center"/>
    </xf>
    <xf numFmtId="165" fontId="9" fillId="0" borderId="30" xfId="1" applyNumberFormat="1" applyFont="1" applyFill="1" applyBorder="1" applyAlignment="1">
      <alignment vertical="center"/>
    </xf>
    <xf numFmtId="165" fontId="9" fillId="0" borderId="30" xfId="1" applyNumberFormat="1" applyFont="1" applyFill="1" applyBorder="1" applyAlignment="1">
      <alignment horizontal="right" vertical="center"/>
    </xf>
    <xf numFmtId="10" fontId="9" fillId="3" borderId="30" xfId="3" applyNumberFormat="1" applyFont="1" applyFill="1" applyBorder="1" applyAlignment="1">
      <alignment horizontal="center" vertical="center"/>
    </xf>
    <xf numFmtId="165" fontId="5" fillId="0" borderId="30" xfId="1" applyNumberFormat="1" applyFont="1" applyBorder="1" applyAlignment="1">
      <alignment horizontal="center" vertical="center"/>
    </xf>
    <xf numFmtId="165" fontId="9" fillId="0" borderId="30" xfId="1" applyNumberFormat="1" applyFont="1" applyBorder="1" applyAlignment="1">
      <alignment horizontal="right" vertical="center"/>
    </xf>
    <xf numFmtId="165" fontId="5" fillId="0" borderId="30" xfId="1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vertical="center"/>
    </xf>
    <xf numFmtId="164" fontId="9" fillId="0" borderId="16" xfId="2" applyNumberFormat="1" applyFont="1" applyFill="1" applyBorder="1" applyAlignment="1">
      <alignment vertical="center"/>
    </xf>
    <xf numFmtId="174" fontId="9" fillId="0" borderId="0" xfId="2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5" fontId="9" fillId="0" borderId="30" xfId="0" applyNumberFormat="1" applyFont="1" applyBorder="1" applyAlignment="1">
      <alignment horizontal="center" vertical="center"/>
    </xf>
    <xf numFmtId="0" fontId="19" fillId="0" borderId="0" xfId="11" applyFont="1"/>
    <xf numFmtId="0" fontId="19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9" fillId="3" borderId="30" xfId="1" applyNumberFormat="1" applyFont="1" applyFill="1" applyBorder="1" applyAlignment="1" applyProtection="1">
      <alignment vertical="center"/>
      <protection locked="0"/>
    </xf>
    <xf numFmtId="10" fontId="9" fillId="2" borderId="30" xfId="0" applyNumberFormat="1" applyFont="1" applyFill="1" applyBorder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165" fontId="9" fillId="2" borderId="30" xfId="1" applyNumberFormat="1" applyFont="1" applyFill="1" applyBorder="1" applyAlignment="1" applyProtection="1">
      <alignment horizontal="right" vertical="center"/>
    </xf>
    <xf numFmtId="165" fontId="9" fillId="2" borderId="30" xfId="1" applyNumberFormat="1" applyFont="1" applyFill="1" applyBorder="1" applyAlignment="1">
      <alignment vertical="center"/>
    </xf>
    <xf numFmtId="165" fontId="9" fillId="0" borderId="31" xfId="1" applyNumberFormat="1" applyFont="1" applyFill="1" applyBorder="1" applyAlignment="1">
      <alignment vertical="center"/>
    </xf>
    <xf numFmtId="165" fontId="9" fillId="0" borderId="30" xfId="1" applyNumberFormat="1" applyFont="1" applyFill="1" applyBorder="1"/>
    <xf numFmtId="0" fontId="9" fillId="0" borderId="0" xfId="23" applyFont="1"/>
    <xf numFmtId="0" fontId="14" fillId="0" borderId="9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5" fontId="9" fillId="0" borderId="30" xfId="11" applyNumberFormat="1" applyFont="1" applyBorder="1" applyAlignment="1">
      <alignment horizontal="center" vertical="center"/>
    </xf>
    <xf numFmtId="0" fontId="9" fillId="0" borderId="30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0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0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3" borderId="30" xfId="28" applyNumberFormat="1" applyFont="1" applyFill="1" applyBorder="1" applyAlignment="1">
      <alignment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0" fontId="9" fillId="0" borderId="30" xfId="0" applyFont="1" applyBorder="1" applyAlignment="1">
      <alignment horizontal="center" vertical="center" wrapText="1"/>
    </xf>
    <xf numFmtId="164" fontId="9" fillId="3" borderId="30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0" xfId="3" applyNumberFormat="1" applyFont="1" applyFill="1" applyBorder="1" applyAlignment="1">
      <alignment horizontal="right" vertical="center"/>
    </xf>
    <xf numFmtId="10" fontId="9" fillId="0" borderId="3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0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0" xfId="3" applyFont="1" applyFill="1" applyBorder="1" applyAlignment="1">
      <alignment horizontal="right" vertical="center"/>
    </xf>
    <xf numFmtId="168" fontId="9" fillId="0" borderId="30" xfId="3" applyNumberFormat="1" applyFont="1" applyBorder="1" applyAlignment="1">
      <alignment horizontal="right" vertical="center"/>
    </xf>
    <xf numFmtId="168" fontId="9" fillId="2" borderId="30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0" xfId="3" applyFont="1" applyFill="1" applyBorder="1" applyAlignment="1">
      <alignment horizontal="right" vertical="center"/>
    </xf>
    <xf numFmtId="10" fontId="9" fillId="2" borderId="30" xfId="3" applyNumberFormat="1" applyFont="1" applyFill="1" applyBorder="1" applyAlignment="1">
      <alignment horizontal="right" vertical="center"/>
    </xf>
    <xf numFmtId="168" fontId="9" fillId="2" borderId="30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0" xfId="11" applyFont="1" applyAlignment="1">
      <alignment horizontal="right"/>
    </xf>
    <xf numFmtId="0" fontId="5" fillId="0" borderId="31" xfId="11" applyFont="1" applyBorder="1" applyAlignment="1">
      <alignment horizontal="center"/>
    </xf>
    <xf numFmtId="0" fontId="5" fillId="0" borderId="30" xfId="11" applyFont="1" applyBorder="1" applyAlignment="1">
      <alignment horizontal="center"/>
    </xf>
    <xf numFmtId="177" fontId="5" fillId="0" borderId="13" xfId="2" applyNumberFormat="1" applyFont="1" applyFill="1" applyBorder="1" applyAlignment="1">
      <alignment horizontal="right"/>
    </xf>
    <xf numFmtId="177" fontId="9" fillId="0" borderId="13" xfId="1" applyNumberFormat="1" applyFont="1" applyFill="1" applyBorder="1" applyAlignment="1">
      <alignment horizontal="right"/>
    </xf>
    <xf numFmtId="177" fontId="9" fillId="0" borderId="0" xfId="1" applyNumberFormat="1" applyFont="1" applyFill="1" applyBorder="1" applyAlignment="1">
      <alignment horizontal="right"/>
    </xf>
    <xf numFmtId="171" fontId="5" fillId="0" borderId="15" xfId="1" applyNumberFormat="1" applyFont="1" applyFill="1" applyBorder="1"/>
    <xf numFmtId="165" fontId="5" fillId="0" borderId="15" xfId="1" applyNumberFormat="1" applyFont="1" applyBorder="1" applyAlignment="1">
      <alignment horizontal="right"/>
    </xf>
    <xf numFmtId="165" fontId="5" fillId="0" borderId="25" xfId="14" applyNumberFormat="1" applyFont="1" applyFill="1" applyBorder="1"/>
    <xf numFmtId="177" fontId="9" fillId="0" borderId="22" xfId="2" applyNumberFormat="1" applyFont="1" applyFill="1" applyBorder="1" applyAlignment="1">
      <alignment horizontal="right"/>
    </xf>
    <xf numFmtId="177" fontId="9" fillId="0" borderId="22" xfId="1" applyNumberFormat="1" applyFont="1" applyFill="1" applyBorder="1" applyAlignment="1">
      <alignment horizontal="right"/>
    </xf>
    <xf numFmtId="165" fontId="9" fillId="0" borderId="15" xfId="1" applyNumberFormat="1" applyFont="1" applyBorder="1" applyAlignment="1">
      <alignment horizontal="right"/>
    </xf>
    <xf numFmtId="165" fontId="9" fillId="0" borderId="30" xfId="1" applyNumberFormat="1" applyFont="1" applyFill="1" applyBorder="1" applyAlignment="1" applyProtection="1">
      <alignment horizontal="right" vertical="center"/>
      <protection locked="0"/>
    </xf>
    <xf numFmtId="165" fontId="5" fillId="2" borderId="30" xfId="1" applyNumberFormat="1" applyFont="1" applyFill="1" applyBorder="1" applyAlignment="1" applyProtection="1">
      <alignment vertical="center"/>
      <protection locked="0"/>
    </xf>
    <xf numFmtId="0" fontId="5" fillId="0" borderId="0" xfId="11" applyFont="1" applyAlignment="1">
      <alignment horizontal="right" vertical="center"/>
    </xf>
    <xf numFmtId="10" fontId="9" fillId="3" borderId="30" xfId="3" applyNumberFormat="1" applyFont="1" applyFill="1" applyBorder="1" applyAlignment="1">
      <alignment horizontal="right" vertical="center"/>
    </xf>
    <xf numFmtId="164" fontId="9" fillId="2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7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8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30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8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7" fillId="0" borderId="0" xfId="31" applyFont="1" applyAlignment="1">
      <alignment vertical="center"/>
    </xf>
    <xf numFmtId="10" fontId="17" fillId="0" borderId="18" xfId="31" applyNumberFormat="1" applyFont="1" applyBorder="1" applyAlignment="1">
      <alignment horizontal="right" vertical="center"/>
    </xf>
    <xf numFmtId="10" fontId="17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7" fillId="0" borderId="0" xfId="31" applyFont="1" applyAlignment="1">
      <alignment horizontal="center" vertical="center"/>
    </xf>
    <xf numFmtId="0" fontId="17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30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30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9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2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33" xfId="1" applyNumberFormat="1" applyFont="1" applyFill="1" applyBorder="1" applyAlignment="1">
      <alignment horizontal="right" vertical="center"/>
    </xf>
    <xf numFmtId="0" fontId="12" fillId="0" borderId="0" xfId="0" applyFont="1"/>
    <xf numFmtId="165" fontId="25" fillId="0" borderId="0" xfId="14" applyNumberFormat="1" applyFont="1" applyBorder="1" applyAlignment="1">
      <alignment horizontal="right" vertical="center"/>
    </xf>
    <xf numFmtId="165" fontId="25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8" fontId="9" fillId="0" borderId="30" xfId="3" applyNumberFormat="1" applyFont="1" applyFill="1" applyBorder="1" applyAlignment="1">
      <alignment horizontal="right" vertical="center"/>
    </xf>
    <xf numFmtId="10" fontId="26" fillId="0" borderId="0" xfId="19" applyNumberFormat="1" applyFont="1" applyBorder="1" applyAlignment="1" applyProtection="1">
      <alignment vertical="center"/>
    </xf>
    <xf numFmtId="10" fontId="26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30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4" xfId="1" applyNumberFormat="1" applyFont="1" applyFill="1" applyBorder="1" applyAlignment="1">
      <alignment vertical="center"/>
    </xf>
    <xf numFmtId="165" fontId="9" fillId="0" borderId="35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5" fontId="9" fillId="0" borderId="30" xfId="11" applyNumberFormat="1" applyFont="1" applyBorder="1" applyAlignment="1">
      <alignment horizontal="center"/>
    </xf>
    <xf numFmtId="0" fontId="9" fillId="0" borderId="30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7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5" fontId="9" fillId="2" borderId="30" xfId="27" applyNumberFormat="1" applyFont="1" applyFill="1" applyBorder="1" applyAlignment="1" applyProtection="1">
      <alignment horizontal="right" vertical="center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7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5" fontId="5" fillId="2" borderId="30" xfId="27" applyNumberFormat="1" applyFont="1" applyFill="1" applyBorder="1" applyAlignment="1" applyProtection="1">
      <alignment horizontal="right" vertical="center"/>
      <protection locked="0"/>
    </xf>
    <xf numFmtId="164" fontId="5" fillId="0" borderId="17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5" fontId="5" fillId="2" borderId="30" xfId="27" applyNumberFormat="1" applyFont="1" applyFill="1" applyBorder="1" applyAlignment="1" applyProtection="1">
      <alignment horizontal="center" vertic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5" fontId="9" fillId="4" borderId="3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5" fontId="9" fillId="2" borderId="30" xfId="27" applyNumberFormat="1" applyFont="1" applyFill="1" applyBorder="1" applyAlignment="1" applyProtection="1">
      <alignment horizontal="right" vertical="center"/>
    </xf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30" xfId="27" applyNumberFormat="1" applyFont="1" applyFill="1" applyBorder="1" applyAlignment="1" applyProtection="1">
      <alignment horizontal="right" vertical="center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64" fontId="3" fillId="0" borderId="0" xfId="2" applyNumberFormat="1" applyFont="1" applyBorder="1"/>
    <xf numFmtId="0" fontId="3" fillId="0" borderId="0" xfId="4" applyFont="1" applyAlignment="1">
      <alignment horizontal="left"/>
    </xf>
    <xf numFmtId="0" fontId="5" fillId="0" borderId="35" xfId="11" applyFont="1" applyBorder="1" applyAlignment="1">
      <alignment horizontal="center"/>
    </xf>
    <xf numFmtId="165" fontId="9" fillId="2" borderId="34" xfId="1" applyNumberFormat="1" applyFont="1" applyFill="1" applyBorder="1" applyAlignment="1">
      <alignment horizontal="right" vertical="center"/>
    </xf>
    <xf numFmtId="165" fontId="9" fillId="3" borderId="34" xfId="1" applyNumberFormat="1" applyFont="1" applyFill="1" applyBorder="1" applyAlignment="1">
      <alignment vertical="center"/>
    </xf>
    <xf numFmtId="171" fontId="9" fillId="0" borderId="34" xfId="1" applyNumberFormat="1" applyFont="1" applyFill="1" applyBorder="1" applyAlignment="1">
      <alignment horizontal="right"/>
    </xf>
    <xf numFmtId="165" fontId="9" fillId="3" borderId="34" xfId="21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center" vertical="center"/>
    </xf>
    <xf numFmtId="37" fontId="5" fillId="0" borderId="0" xfId="33" applyNumberFormat="1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1" xfId="0" applyNumberFormat="1" applyFont="1" applyBorder="1" applyAlignment="1">
      <alignment horizontal="center" vertical="center"/>
    </xf>
    <xf numFmtId="37" fontId="20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left" vertical="center"/>
    </xf>
    <xf numFmtId="37" fontId="9" fillId="0" borderId="13" xfId="33" applyNumberFormat="1" applyFont="1" applyBorder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37" fontId="9" fillId="0" borderId="20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5" fontId="27" fillId="0" borderId="22" xfId="1" applyNumberFormat="1" applyFont="1" applyFill="1" applyBorder="1" applyAlignment="1">
      <alignment vertical="center"/>
    </xf>
    <xf numFmtId="164" fontId="5" fillId="0" borderId="22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37" fontId="9" fillId="0" borderId="22" xfId="0" applyNumberFormat="1" applyFont="1" applyBorder="1" applyAlignment="1">
      <alignment vertical="center"/>
    </xf>
    <xf numFmtId="167" fontId="9" fillId="0" borderId="21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7" fillId="0" borderId="9" xfId="0" applyNumberFormat="1" applyFont="1" applyBorder="1" applyAlignment="1">
      <alignment horizontal="left" vertical="center"/>
    </xf>
    <xf numFmtId="37" fontId="9" fillId="0" borderId="9" xfId="11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37" fontId="5" fillId="0" borderId="0" xfId="0" applyNumberFormat="1" applyFont="1" applyAlignment="1">
      <alignment horizontal="right" vertical="center"/>
    </xf>
    <xf numFmtId="37" fontId="5" fillId="0" borderId="10" xfId="0" applyNumberFormat="1" applyFont="1" applyBorder="1" applyAlignment="1">
      <alignment vertical="center"/>
    </xf>
    <xf numFmtId="167" fontId="9" fillId="0" borderId="9" xfId="11" applyNumberFormat="1" applyFont="1" applyBorder="1" applyAlignment="1">
      <alignment horizontal="center" wrapText="1"/>
    </xf>
    <xf numFmtId="165" fontId="9" fillId="0" borderId="0" xfId="1" applyNumberFormat="1" applyFont="1" applyFill="1" applyBorder="1" applyAlignment="1">
      <alignment vertical="top"/>
    </xf>
    <xf numFmtId="165" fontId="28" fillId="0" borderId="0" xfId="1" applyNumberFormat="1" applyFont="1" applyFill="1" applyBorder="1" applyAlignment="1">
      <alignment vertical="top"/>
    </xf>
    <xf numFmtId="165" fontId="9" fillId="0" borderId="30" xfId="1" applyNumberFormat="1" applyFont="1" applyFill="1" applyBorder="1" applyAlignment="1">
      <alignment vertical="top"/>
    </xf>
    <xf numFmtId="37" fontId="9" fillId="0" borderId="0" xfId="0" applyNumberFormat="1" applyFont="1" applyAlignment="1">
      <alignment wrapText="1"/>
    </xf>
    <xf numFmtId="37" fontId="9" fillId="0" borderId="9" xfId="0" applyNumberFormat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right"/>
    </xf>
    <xf numFmtId="37" fontId="5" fillId="0" borderId="0" xfId="0" applyNumberFormat="1" applyFont="1" applyAlignment="1">
      <alignment horizontal="left" vertical="center"/>
    </xf>
    <xf numFmtId="37" fontId="5" fillId="0" borderId="0" xfId="0" applyNumberFormat="1" applyFont="1" applyAlignment="1">
      <alignment horizontal="right"/>
    </xf>
    <xf numFmtId="164" fontId="5" fillId="0" borderId="0" xfId="2" applyNumberFormat="1" applyFont="1" applyBorder="1" applyAlignment="1">
      <alignment vertical="center"/>
    </xf>
    <xf numFmtId="0" fontId="29" fillId="0" borderId="9" xfId="23" applyFont="1" applyBorder="1" applyAlignment="1">
      <alignment horizont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0" fontId="5" fillId="0" borderId="34" xfId="11" applyFont="1" applyBorder="1" applyAlignment="1">
      <alignment horizontal="center"/>
    </xf>
    <xf numFmtId="171" fontId="9" fillId="0" borderId="0" xfId="1" applyNumberFormat="1" applyFont="1"/>
    <xf numFmtId="0" fontId="5" fillId="0" borderId="0" xfId="18" applyFont="1" applyAlignment="1">
      <alignment horizontal="right"/>
    </xf>
    <xf numFmtId="0" fontId="9" fillId="0" borderId="37" xfId="31" applyFont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165" fontId="9" fillId="3" borderId="3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5" fontId="7" fillId="0" borderId="0" xfId="1" applyNumberFormat="1" applyFont="1" applyAlignment="1">
      <alignment vertical="center"/>
    </xf>
    <xf numFmtId="10" fontId="7" fillId="0" borderId="0" xfId="3" applyNumberFormat="1" applyFont="1" applyAlignment="1">
      <alignment vertical="center"/>
    </xf>
    <xf numFmtId="173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30" xfId="13" applyNumberFormat="1" applyFont="1" applyFill="1" applyBorder="1" applyAlignment="1" applyProtection="1">
      <alignment vertical="center"/>
      <protection locked="0"/>
    </xf>
    <xf numFmtId="164" fontId="9" fillId="0" borderId="33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6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9" fillId="0" borderId="0" xfId="0" applyNumberFormat="1" applyFont="1" applyAlignment="1">
      <alignment horizontal="right"/>
    </xf>
    <xf numFmtId="37" fontId="9" fillId="0" borderId="30" xfId="0" applyNumberFormat="1" applyFont="1" applyBorder="1" applyAlignment="1">
      <alignment horizontal="right"/>
    </xf>
    <xf numFmtId="165" fontId="9" fillId="0" borderId="0" xfId="1" applyNumberFormat="1" applyFont="1" applyFill="1" applyBorder="1" applyAlignment="1"/>
    <xf numFmtId="165" fontId="9" fillId="0" borderId="0" xfId="1" applyNumberFormat="1" applyFont="1" applyFill="1"/>
    <xf numFmtId="37" fontId="9" fillId="0" borderId="9" xfId="11" applyNumberFormat="1" applyFont="1" applyBorder="1" applyAlignment="1">
      <alignment horizontal="center" wrapText="1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10" fontId="9" fillId="0" borderId="0" xfId="22" applyNumberFormat="1" applyFont="1" applyFill="1" applyBorder="1" applyAlignment="1">
      <alignment horizontal="right" vertical="center"/>
    </xf>
    <xf numFmtId="174" fontId="9" fillId="0" borderId="0" xfId="2" applyNumberFormat="1" applyFont="1" applyBorder="1" applyAlignment="1">
      <alignment vertical="center"/>
    </xf>
    <xf numFmtId="0" fontId="18" fillId="0" borderId="0" xfId="0" applyFont="1" applyAlignment="1">
      <alignment horizontal="right"/>
    </xf>
    <xf numFmtId="43" fontId="9" fillId="0" borderId="0" xfId="0" applyNumberFormat="1" applyFont="1" applyAlignment="1">
      <alignment vertical="center"/>
    </xf>
    <xf numFmtId="3" fontId="9" fillId="0" borderId="22" xfId="11" applyNumberFormat="1" applyFont="1" applyBorder="1" applyAlignment="1">
      <alignment horizontal="left" vertical="center"/>
    </xf>
    <xf numFmtId="3" fontId="9" fillId="0" borderId="0" xfId="11" applyNumberFormat="1" applyFont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164" fontId="5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 vertical="center"/>
    </xf>
    <xf numFmtId="0" fontId="9" fillId="0" borderId="38" xfId="0" applyFont="1" applyBorder="1" applyAlignment="1">
      <alignment horizontal="center"/>
    </xf>
    <xf numFmtId="165" fontId="7" fillId="0" borderId="38" xfId="6" applyNumberFormat="1" applyFont="1" applyBorder="1"/>
    <xf numFmtId="165" fontId="7" fillId="0" borderId="38" xfId="1" applyNumberFormat="1" applyFont="1" applyBorder="1"/>
    <xf numFmtId="0" fontId="5" fillId="0" borderId="30" xfId="0" applyFont="1" applyBorder="1" applyAlignment="1">
      <alignment horizontal="center"/>
    </xf>
    <xf numFmtId="165" fontId="9" fillId="2" borderId="30" xfId="1" applyNumberFormat="1" applyFont="1" applyFill="1" applyBorder="1" applyAlignment="1">
      <alignment horizontal="right" vertical="center"/>
    </xf>
    <xf numFmtId="171" fontId="9" fillId="0" borderId="30" xfId="1" applyNumberFormat="1" applyFont="1" applyFill="1" applyBorder="1" applyAlignment="1">
      <alignment horizontal="right"/>
    </xf>
    <xf numFmtId="165" fontId="9" fillId="3" borderId="30" xfId="21" applyNumberFormat="1" applyFont="1" applyFill="1" applyBorder="1"/>
    <xf numFmtId="165" fontId="9" fillId="0" borderId="30" xfId="21" applyNumberFormat="1" applyFont="1" applyFill="1" applyBorder="1"/>
    <xf numFmtId="0" fontId="5" fillId="0" borderId="30" xfId="1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5" fontId="7" fillId="0" borderId="30" xfId="1" applyNumberFormat="1" applyFont="1" applyFill="1" applyBorder="1" applyAlignment="1">
      <alignment vertical="center"/>
    </xf>
    <xf numFmtId="10" fontId="9" fillId="3" borderId="30" xfId="3" applyNumberFormat="1" applyFont="1" applyFill="1" applyBorder="1"/>
    <xf numFmtId="0" fontId="5" fillId="0" borderId="2" xfId="0" applyFont="1" applyBorder="1" applyAlignment="1">
      <alignment horizontal="center"/>
    </xf>
    <xf numFmtId="165" fontId="5" fillId="0" borderId="0" xfId="1" applyNumberFormat="1" applyFont="1" applyFill="1" applyBorder="1" applyAlignment="1">
      <alignment vertical="center"/>
    </xf>
    <xf numFmtId="167" fontId="5" fillId="0" borderId="21" xfId="0" applyNumberFormat="1" applyFont="1" applyBorder="1" applyAlignment="1">
      <alignment horizontal="center" vertical="center"/>
    </xf>
    <xf numFmtId="165" fontId="9" fillId="0" borderId="39" xfId="1" applyNumberFormat="1" applyFont="1" applyFill="1" applyBorder="1" applyAlignment="1">
      <alignment vertical="center"/>
    </xf>
    <xf numFmtId="165" fontId="5" fillId="0" borderId="38" xfId="1" applyNumberFormat="1" applyFont="1" applyFill="1" applyBorder="1" applyAlignment="1">
      <alignment vertical="center"/>
    </xf>
    <xf numFmtId="165" fontId="9" fillId="0" borderId="38" xfId="1" applyNumberFormat="1" applyFont="1" applyFill="1" applyBorder="1" applyAlignment="1">
      <alignment vertical="center"/>
    </xf>
    <xf numFmtId="0" fontId="31" fillId="0" borderId="0" xfId="0" applyFont="1" applyAlignment="1">
      <alignment horizontal="center"/>
    </xf>
    <xf numFmtId="165" fontId="5" fillId="3" borderId="38" xfId="1" applyNumberFormat="1" applyFont="1" applyFill="1" applyBorder="1" applyAlignment="1" applyProtection="1">
      <alignment vertical="center"/>
      <protection locked="0"/>
    </xf>
    <xf numFmtId="165" fontId="9" fillId="0" borderId="40" xfId="1" applyNumberFormat="1" applyFont="1" applyFill="1" applyBorder="1" applyAlignment="1">
      <alignment vertical="center"/>
    </xf>
    <xf numFmtId="37" fontId="9" fillId="0" borderId="38" xfId="0" applyNumberFormat="1" applyFont="1" applyBorder="1" applyAlignment="1">
      <alignment horizontal="right"/>
    </xf>
    <xf numFmtId="165" fontId="9" fillId="0" borderId="38" xfId="1" applyNumberFormat="1" applyFont="1" applyFill="1" applyBorder="1"/>
    <xf numFmtId="165" fontId="9" fillId="0" borderId="38" xfId="1" applyNumberFormat="1" applyFont="1" applyFill="1" applyBorder="1" applyAlignment="1">
      <alignment vertical="top"/>
    </xf>
    <xf numFmtId="37" fontId="10" fillId="0" borderId="0" xfId="0" applyNumberFormat="1" applyFont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15" fontId="9" fillId="0" borderId="38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8" xfId="16" applyFont="1" applyBorder="1" applyAlignment="1">
      <alignment horizontal="left" vertical="center"/>
    </xf>
    <xf numFmtId="1" fontId="9" fillId="0" borderId="38" xfId="16" applyNumberFormat="1" applyFont="1" applyBorder="1" applyAlignment="1">
      <alignment horizontal="center" vertical="center"/>
    </xf>
    <xf numFmtId="10" fontId="9" fillId="3" borderId="38" xfId="3" applyNumberFormat="1" applyFont="1" applyFill="1" applyBorder="1"/>
    <xf numFmtId="165" fontId="9" fillId="0" borderId="38" xfId="1" applyNumberFormat="1" applyFont="1" applyFill="1" applyBorder="1" applyAlignment="1">
      <alignment horizontal="right" vertical="center"/>
    </xf>
    <xf numFmtId="164" fontId="5" fillId="2" borderId="0" xfId="13" applyNumberFormat="1" applyFont="1" applyFill="1" applyBorder="1" applyAlignment="1" applyProtection="1">
      <alignment horizontal="right" vertical="center"/>
    </xf>
    <xf numFmtId="164" fontId="5" fillId="2" borderId="0" xfId="2" applyNumberFormat="1" applyFont="1" applyFill="1" applyAlignment="1">
      <alignment horizontal="center" vertical="center"/>
    </xf>
    <xf numFmtId="168" fontId="5" fillId="0" borderId="0" xfId="3" applyNumberFormat="1" applyFont="1" applyAlignment="1">
      <alignment horizontal="right" vertical="center"/>
    </xf>
    <xf numFmtId="168" fontId="5" fillId="0" borderId="0" xfId="3" applyNumberFormat="1" applyFont="1" applyFill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168" fontId="5" fillId="2" borderId="0" xfId="19" applyNumberFormat="1" applyFont="1" applyFill="1" applyBorder="1" applyAlignment="1">
      <alignment horizontal="right" vertical="center"/>
    </xf>
    <xf numFmtId="168" fontId="5" fillId="0" borderId="30" xfId="3" applyNumberFormat="1" applyFont="1" applyFill="1" applyBorder="1" applyAlignment="1">
      <alignment horizontal="right" vertical="center"/>
    </xf>
    <xf numFmtId="10" fontId="5" fillId="0" borderId="0" xfId="22" applyNumberFormat="1" applyFont="1" applyFill="1" applyBorder="1" applyAlignment="1">
      <alignment horizontal="right" vertical="center"/>
    </xf>
    <xf numFmtId="10" fontId="5" fillId="2" borderId="0" xfId="31" applyNumberFormat="1" applyFont="1" applyFill="1" applyAlignment="1">
      <alignment horizontal="right" vertical="center"/>
    </xf>
    <xf numFmtId="0" fontId="9" fillId="0" borderId="38" xfId="11" applyFont="1" applyBorder="1" applyAlignment="1">
      <alignment horizontal="left" vertical="center"/>
    </xf>
    <xf numFmtId="1" fontId="9" fillId="0" borderId="38" xfId="11" applyNumberFormat="1" applyFont="1" applyBorder="1" applyAlignment="1">
      <alignment horizontal="center" vertical="center"/>
    </xf>
    <xf numFmtId="10" fontId="9" fillId="3" borderId="38" xfId="3" applyNumberFormat="1" applyFont="1" applyFill="1" applyBorder="1" applyAlignment="1">
      <alignment horizontal="center" vertical="center"/>
    </xf>
    <xf numFmtId="165" fontId="5" fillId="0" borderId="38" xfId="1" applyNumberFormat="1" applyFont="1" applyBorder="1" applyAlignment="1">
      <alignment horizontal="center" vertical="center"/>
    </xf>
    <xf numFmtId="165" fontId="9" fillId="0" borderId="38" xfId="1" applyNumberFormat="1" applyFont="1" applyBorder="1" applyAlignment="1">
      <alignment horizontal="right" vertical="center"/>
    </xf>
    <xf numFmtId="165" fontId="5" fillId="0" borderId="38" xfId="1" applyNumberFormat="1" applyFont="1" applyFill="1" applyBorder="1" applyAlignment="1">
      <alignment horizontal="right" vertical="center"/>
    </xf>
    <xf numFmtId="0" fontId="9" fillId="0" borderId="38" xfId="0" applyFont="1" applyBorder="1" applyAlignment="1">
      <alignment horizontal="center" vertical="center" wrapText="1"/>
    </xf>
    <xf numFmtId="164" fontId="9" fillId="3" borderId="38" xfId="2" applyNumberFormat="1" applyFont="1" applyFill="1" applyBorder="1" applyAlignment="1" applyProtection="1">
      <alignment vertical="center"/>
      <protection locked="0"/>
    </xf>
    <xf numFmtId="10" fontId="9" fillId="0" borderId="38" xfId="3" applyNumberFormat="1" applyFont="1" applyFill="1" applyBorder="1" applyAlignment="1">
      <alignment horizontal="right" vertical="center"/>
    </xf>
    <xf numFmtId="10" fontId="9" fillId="0" borderId="38" xfId="3" applyNumberFormat="1" applyFont="1" applyBorder="1" applyAlignment="1">
      <alignment horizontal="right" vertical="center"/>
    </xf>
    <xf numFmtId="10" fontId="9" fillId="4" borderId="38" xfId="3" applyNumberFormat="1" applyFont="1" applyFill="1" applyBorder="1" applyAlignment="1">
      <alignment horizontal="right" vertical="center"/>
    </xf>
    <xf numFmtId="9" fontId="9" fillId="3" borderId="38" xfId="3" applyFont="1" applyFill="1" applyBorder="1" applyAlignment="1">
      <alignment horizontal="right" vertical="center"/>
    </xf>
    <xf numFmtId="10" fontId="9" fillId="3" borderId="38" xfId="3" applyNumberFormat="1" applyFont="1" applyFill="1" applyBorder="1" applyAlignment="1">
      <alignment horizontal="right" vertical="center"/>
    </xf>
    <xf numFmtId="168" fontId="5" fillId="0" borderId="38" xfId="3" applyNumberFormat="1" applyFont="1" applyBorder="1" applyAlignment="1">
      <alignment horizontal="right" vertical="center"/>
    </xf>
    <xf numFmtId="168" fontId="9" fillId="2" borderId="38" xfId="3" applyNumberFormat="1" applyFont="1" applyFill="1" applyBorder="1" applyAlignment="1">
      <alignment horizontal="right" vertical="center"/>
    </xf>
    <xf numFmtId="9" fontId="9" fillId="2" borderId="38" xfId="3" applyFont="1" applyFill="1" applyBorder="1" applyAlignment="1">
      <alignment horizontal="right" vertical="center"/>
    </xf>
    <xf numFmtId="10" fontId="9" fillId="2" borderId="38" xfId="3" applyNumberFormat="1" applyFont="1" applyFill="1" applyBorder="1" applyAlignment="1">
      <alignment horizontal="right" vertical="center"/>
    </xf>
    <xf numFmtId="168" fontId="9" fillId="0" borderId="38" xfId="3" applyNumberFormat="1" applyFont="1" applyBorder="1" applyAlignment="1">
      <alignment horizontal="right" vertical="center"/>
    </xf>
    <xf numFmtId="168" fontId="9" fillId="2" borderId="38" xfId="0" applyNumberFormat="1" applyFont="1" applyFill="1" applyBorder="1" applyAlignment="1">
      <alignment horizontal="right" vertical="center"/>
    </xf>
    <xf numFmtId="5" fontId="9" fillId="0" borderId="38" xfId="11" applyNumberFormat="1" applyFont="1" applyBorder="1" applyAlignment="1">
      <alignment horizontal="center"/>
    </xf>
    <xf numFmtId="0" fontId="9" fillId="0" borderId="38" xfId="11" applyFont="1" applyBorder="1" applyAlignment="1">
      <alignment horizontal="center"/>
    </xf>
    <xf numFmtId="165" fontId="9" fillId="2" borderId="38" xfId="27" applyNumberFormat="1" applyFont="1" applyFill="1" applyBorder="1" applyAlignment="1" applyProtection="1">
      <alignment horizontal="right" vertical="center"/>
      <protection locked="0"/>
    </xf>
    <xf numFmtId="165" fontId="5" fillId="2" borderId="38" xfId="27" applyNumberFormat="1" applyFont="1" applyFill="1" applyBorder="1" applyAlignment="1" applyProtection="1">
      <alignment horizontal="right" vertical="center"/>
      <protection locked="0"/>
    </xf>
    <xf numFmtId="165" fontId="5" fillId="2" borderId="38" xfId="27" applyNumberFormat="1" applyFont="1" applyFill="1" applyBorder="1" applyAlignment="1" applyProtection="1">
      <alignment horizontal="center" vertical="center"/>
    </xf>
    <xf numFmtId="165" fontId="9" fillId="4" borderId="38" xfId="27" applyNumberFormat="1" applyFont="1" applyFill="1" applyBorder="1" applyAlignment="1" applyProtection="1">
      <alignment horizontal="right" vertical="center"/>
    </xf>
    <xf numFmtId="165" fontId="9" fillId="2" borderId="38" xfId="27" applyNumberFormat="1" applyFont="1" applyFill="1" applyBorder="1" applyAlignment="1" applyProtection="1">
      <alignment horizontal="right" vertical="center"/>
    </xf>
    <xf numFmtId="165" fontId="9" fillId="0" borderId="38" xfId="27" applyNumberFormat="1" applyFont="1" applyFill="1" applyBorder="1" applyAlignment="1" applyProtection="1">
      <alignment horizontal="right" vertical="center"/>
    </xf>
    <xf numFmtId="165" fontId="5" fillId="3" borderId="30" xfId="1" applyNumberFormat="1" applyFont="1" applyFill="1" applyBorder="1" applyAlignment="1" applyProtection="1">
      <alignment vertical="center"/>
      <protection locked="0"/>
    </xf>
    <xf numFmtId="37" fontId="9" fillId="0" borderId="2" xfId="0" applyNumberFormat="1" applyFont="1" applyBorder="1" applyAlignment="1">
      <alignment horizontal="left"/>
    </xf>
    <xf numFmtId="0" fontId="5" fillId="0" borderId="20" xfId="0" quotePrefix="1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37" fontId="9" fillId="0" borderId="0" xfId="33" applyNumberFormat="1" applyFont="1" applyAlignment="1">
      <alignment horizontal="left"/>
    </xf>
    <xf numFmtId="165" fontId="9" fillId="0" borderId="0" xfId="1" applyNumberFormat="1" applyFont="1" applyFill="1" applyBorder="1" applyAlignment="1">
      <alignment horizontal="left"/>
    </xf>
    <xf numFmtId="165" fontId="9" fillId="0" borderId="38" xfId="1" applyNumberFormat="1" applyFont="1" applyFill="1" applyBorder="1" applyAlignment="1">
      <alignment horizontal="left"/>
    </xf>
    <xf numFmtId="37" fontId="9" fillId="0" borderId="0" xfId="0" applyNumberFormat="1" applyFont="1" applyAlignment="1">
      <alignment horizontal="left"/>
    </xf>
    <xf numFmtId="164" fontId="5" fillId="0" borderId="1" xfId="2" applyNumberFormat="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37" fontId="9" fillId="0" borderId="0" xfId="1" applyNumberFormat="1" applyFont="1" applyBorder="1" applyAlignment="1">
      <alignment horizontal="left"/>
    </xf>
    <xf numFmtId="37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5" fillId="0" borderId="0" xfId="0" applyNumberFormat="1" applyFont="1" applyAlignment="1">
      <alignment horizontal="left" vertical="center"/>
    </xf>
    <xf numFmtId="165" fontId="5" fillId="0" borderId="0" xfId="1" applyNumberFormat="1" applyFont="1" applyFill="1" applyAlignment="1">
      <alignment horizontal="right" vertical="center"/>
    </xf>
    <xf numFmtId="44" fontId="9" fillId="0" borderId="0" xfId="0" applyNumberFormat="1" applyFont="1"/>
    <xf numFmtId="0" fontId="5" fillId="0" borderId="40" xfId="11" applyFont="1" applyBorder="1" applyAlignment="1">
      <alignment horizontal="center"/>
    </xf>
    <xf numFmtId="170" fontId="5" fillId="0" borderId="13" xfId="20" applyNumberFormat="1" applyFont="1" applyFill="1" applyBorder="1" applyAlignment="1">
      <alignment horizontal="right"/>
    </xf>
    <xf numFmtId="171" fontId="5" fillId="0" borderId="34" xfId="1" applyNumberFormat="1" applyFont="1" applyFill="1" applyBorder="1" applyAlignment="1">
      <alignment horizontal="right"/>
    </xf>
    <xf numFmtId="44" fontId="7" fillId="0" borderId="0" xfId="2" applyFont="1" applyAlignment="1">
      <alignment horizontal="right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Alignment="1">
      <alignment horizontal="right" vertical="center"/>
    </xf>
    <xf numFmtId="43" fontId="9" fillId="0" borderId="30" xfId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9" fillId="0" borderId="38" xfId="1" applyFont="1" applyFill="1" applyBorder="1" applyAlignment="1">
      <alignment horizontal="right" vertical="center"/>
    </xf>
    <xf numFmtId="164" fontId="5" fillId="0" borderId="33" xfId="31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37" fontId="5" fillId="0" borderId="0" xfId="0" applyNumberFormat="1" applyFont="1"/>
    <xf numFmtId="37" fontId="14" fillId="0" borderId="0" xfId="0" applyNumberFormat="1" applyFont="1" applyAlignment="1">
      <alignment vertical="center"/>
    </xf>
    <xf numFmtId="0" fontId="32" fillId="0" borderId="9" xfId="0" applyFont="1" applyBorder="1" applyAlignment="1">
      <alignment horizontal="center" vertical="top"/>
    </xf>
    <xf numFmtId="0" fontId="31" fillId="0" borderId="27" xfId="0" applyFont="1" applyBorder="1" applyAlignment="1">
      <alignment horizontal="center"/>
    </xf>
    <xf numFmtId="10" fontId="5" fillId="0" borderId="0" xfId="22" applyNumberFormat="1" applyFont="1" applyBorder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0" borderId="30" xfId="1" applyNumberFormat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vertical="center"/>
    </xf>
    <xf numFmtId="164" fontId="7" fillId="0" borderId="0" xfId="2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7" fillId="0" borderId="30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38" xfId="1" applyNumberFormat="1" applyFont="1" applyBorder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7" fillId="0" borderId="16" xfId="2" applyNumberFormat="1" applyFont="1" applyFill="1" applyBorder="1" applyAlignment="1">
      <alignment vertical="center"/>
    </xf>
    <xf numFmtId="164" fontId="9" fillId="0" borderId="1" xfId="2" applyNumberFormat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right" vertical="center"/>
    </xf>
    <xf numFmtId="10" fontId="9" fillId="0" borderId="0" xfId="2" applyNumberFormat="1" applyFont="1" applyBorder="1" applyAlignment="1">
      <alignment horizontal="right" vertical="center"/>
    </xf>
    <xf numFmtId="164" fontId="5" fillId="0" borderId="0" xfId="2" applyNumberFormat="1" applyFont="1" applyBorder="1"/>
    <xf numFmtId="164" fontId="5" fillId="0" borderId="0" xfId="0" applyNumberFormat="1" applyFont="1" applyAlignment="1">
      <alignment vertical="center"/>
    </xf>
    <xf numFmtId="0" fontId="5" fillId="0" borderId="38" xfId="0" applyFont="1" applyBorder="1" applyAlignment="1">
      <alignment horizontal="left" vertical="center"/>
    </xf>
    <xf numFmtId="165" fontId="14" fillId="0" borderId="22" xfId="1" applyNumberFormat="1" applyFont="1" applyFill="1" applyBorder="1" applyAlignment="1">
      <alignment horizontal="left" vertical="center"/>
    </xf>
    <xf numFmtId="165" fontId="14" fillId="0" borderId="22" xfId="1" applyNumberFormat="1" applyFont="1" applyFill="1" applyBorder="1" applyAlignment="1">
      <alignment vertical="center"/>
    </xf>
    <xf numFmtId="10" fontId="5" fillId="0" borderId="30" xfId="3" quotePrefix="1" applyNumberFormat="1" applyFont="1" applyBorder="1" applyAlignment="1">
      <alignment horizontal="right" vertical="center"/>
    </xf>
    <xf numFmtId="170" fontId="5" fillId="0" borderId="0" xfId="2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5" fillId="0" borderId="0" xfId="11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7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1150937</xdr:colOff>
      <xdr:row>23</xdr:row>
      <xdr:rowOff>63500</xdr:rowOff>
    </xdr:from>
    <xdr:to>
      <xdr:col>12</xdr:col>
      <xdr:colOff>87313</xdr:colOff>
      <xdr:row>24</xdr:row>
      <xdr:rowOff>230980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E930202-31CF-4002-B082-BD7CE3CDD8ED}"/>
            </a:ext>
          </a:extLst>
        </xdr:cNvPr>
        <xdr:cNvSpPr/>
      </xdr:nvSpPr>
      <xdr:spPr>
        <a:xfrm>
          <a:off x="13414375" y="5000625"/>
          <a:ext cx="158751" cy="40560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1158874</xdr:colOff>
      <xdr:row>11</xdr:row>
      <xdr:rowOff>39688</xdr:rowOff>
    </xdr:from>
    <xdr:to>
      <xdr:col>12</xdr:col>
      <xdr:colOff>71436</xdr:colOff>
      <xdr:row>12</xdr:row>
      <xdr:rowOff>206375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ADD6E9AA-6F6F-4259-A19B-D15741AA377A}"/>
            </a:ext>
          </a:extLst>
        </xdr:cNvPr>
        <xdr:cNvSpPr/>
      </xdr:nvSpPr>
      <xdr:spPr>
        <a:xfrm>
          <a:off x="13422312" y="2309813"/>
          <a:ext cx="134937" cy="40481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1158875</xdr:colOff>
      <xdr:row>14</xdr:row>
      <xdr:rowOff>31750</xdr:rowOff>
    </xdr:from>
    <xdr:to>
      <xdr:col>12</xdr:col>
      <xdr:colOff>79375</xdr:colOff>
      <xdr:row>15</xdr:row>
      <xdr:rowOff>166687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4E187A5C-DBA6-4A61-A5A7-80678E2BA410}"/>
            </a:ext>
          </a:extLst>
        </xdr:cNvPr>
        <xdr:cNvSpPr/>
      </xdr:nvSpPr>
      <xdr:spPr>
        <a:xfrm>
          <a:off x="13422313" y="2984500"/>
          <a:ext cx="142875" cy="37306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FA3FD29-EBC3-40DD-AC40-644186DDCB3F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95EED9ED-B7ED-442E-BFBA-5238D89D3D0D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B3707C26-FC28-40B1-9A61-BC173EBD2A19}"/>
            </a:ext>
          </a:extLst>
        </xdr:cNvPr>
        <xdr:cNvSpPr>
          <a:spLocks noChangeShapeType="1"/>
        </xdr:cNvSpPr>
      </xdr:nvSpPr>
      <xdr:spPr bwMode="auto">
        <a:xfrm>
          <a:off x="1765305" y="29303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D46DDA6B-31D4-4FE2-BCDD-3D8B26755F85}"/>
            </a:ext>
          </a:extLst>
        </xdr:cNvPr>
        <xdr:cNvSpPr>
          <a:spLocks noChangeShapeType="1"/>
        </xdr:cNvSpPr>
      </xdr:nvSpPr>
      <xdr:spPr bwMode="auto">
        <a:xfrm>
          <a:off x="1897064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A3727C8A-0434-4819-A27C-9098A3CDF449}"/>
            </a:ext>
          </a:extLst>
        </xdr:cNvPr>
        <xdr:cNvSpPr>
          <a:spLocks noChangeShapeType="1"/>
        </xdr:cNvSpPr>
      </xdr:nvSpPr>
      <xdr:spPr bwMode="auto">
        <a:xfrm>
          <a:off x="1751017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BFC54E8-CDA3-4B58-BFA8-999596FC47EB}"/>
            </a:ext>
          </a:extLst>
        </xdr:cNvPr>
        <xdr:cNvSpPr>
          <a:spLocks noChangeShapeType="1"/>
        </xdr:cNvSpPr>
      </xdr:nvSpPr>
      <xdr:spPr bwMode="auto">
        <a:xfrm>
          <a:off x="1897064" y="27943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3052A545-42B4-4996-ACC7-521975FFE250}"/>
            </a:ext>
          </a:extLst>
        </xdr:cNvPr>
        <xdr:cNvSpPr>
          <a:spLocks noChangeShapeType="1"/>
        </xdr:cNvSpPr>
      </xdr:nvSpPr>
      <xdr:spPr bwMode="auto">
        <a:xfrm>
          <a:off x="1897064" y="27943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151</xdr:row>
      <xdr:rowOff>-1</xdr:rowOff>
    </xdr:from>
    <xdr:to>
      <xdr:col>2</xdr:col>
      <xdr:colOff>312424</xdr:colOff>
      <xdr:row>151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DE91A21C-CBDB-4910-83D4-B941F6371FB9}"/>
            </a:ext>
          </a:extLst>
        </xdr:cNvPr>
        <xdr:cNvSpPr>
          <a:spLocks noChangeShapeType="1"/>
        </xdr:cNvSpPr>
      </xdr:nvSpPr>
      <xdr:spPr bwMode="auto">
        <a:xfrm>
          <a:off x="1751017" y="30337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>
      <selection activeCell="B30" sqref="B30"/>
    </sheetView>
  </sheetViews>
  <sheetFormatPr defaultColWidth="9.140625" defaultRowHeight="15" x14ac:dyDescent="0.25"/>
  <cols>
    <col min="1" max="1" width="4.85546875" style="1" bestFit="1" customWidth="1"/>
    <col min="2" max="2" width="71.5703125" style="1" customWidth="1"/>
    <col min="3" max="3" width="1.85546875" style="1" customWidth="1"/>
    <col min="4" max="4" width="20.85546875" style="1" customWidth="1"/>
    <col min="5" max="5" width="1.5703125" style="1" customWidth="1"/>
    <col min="6" max="6" width="44.85546875" style="1" customWidth="1"/>
    <col min="7" max="7" width="4.85546875" style="1" customWidth="1"/>
    <col min="8" max="16384" width="9.140625" style="1"/>
  </cols>
  <sheetData>
    <row r="2" spans="1:8" ht="18.75" x14ac:dyDescent="0.25">
      <c r="B2" s="800" t="s">
        <v>0</v>
      </c>
      <c r="C2" s="800"/>
      <c r="D2" s="800"/>
      <c r="E2" s="800"/>
      <c r="F2" s="800"/>
    </row>
    <row r="3" spans="1:8" ht="18.75" x14ac:dyDescent="0.25">
      <c r="B3" s="153" t="s">
        <v>1</v>
      </c>
      <c r="C3" s="2"/>
      <c r="D3" s="3"/>
      <c r="E3" s="3"/>
      <c r="F3" s="3"/>
    </row>
    <row r="4" spans="1:8" ht="18.75" x14ac:dyDescent="0.3">
      <c r="B4" s="799" t="s">
        <v>588</v>
      </c>
      <c r="C4" s="799"/>
      <c r="D4" s="799"/>
      <c r="E4" s="799"/>
      <c r="F4" s="799"/>
    </row>
    <row r="5" spans="1:8" ht="18.75" x14ac:dyDescent="0.3">
      <c r="B5" s="155" t="s">
        <v>2</v>
      </c>
      <c r="C5" s="2"/>
      <c r="D5" s="2"/>
      <c r="E5" s="2"/>
      <c r="F5" s="2"/>
    </row>
    <row r="6" spans="1:8" ht="15.75" x14ac:dyDescent="0.25">
      <c r="B6" s="798" t="s">
        <v>3</v>
      </c>
      <c r="C6" s="798"/>
      <c r="D6" s="798"/>
      <c r="E6" s="798"/>
      <c r="F6" s="798"/>
      <c r="G6" s="4"/>
      <c r="H6" s="4"/>
    </row>
    <row r="7" spans="1:8" ht="15.75" x14ac:dyDescent="0.25">
      <c r="B7" s="5"/>
      <c r="C7" s="5"/>
      <c r="D7" s="6"/>
      <c r="E7" s="7"/>
      <c r="F7" s="5"/>
      <c r="G7" s="5"/>
    </row>
    <row r="8" spans="1:8" ht="15.75" x14ac:dyDescent="0.25">
      <c r="A8" s="8" t="s">
        <v>4</v>
      </c>
      <c r="G8" s="8" t="s">
        <v>4</v>
      </c>
    </row>
    <row r="9" spans="1:8" ht="15.75" x14ac:dyDescent="0.25">
      <c r="A9" s="666" t="s">
        <v>5</v>
      </c>
      <c r="B9" s="9" t="s">
        <v>6</v>
      </c>
      <c r="C9" s="9"/>
      <c r="D9" s="9" t="s">
        <v>7</v>
      </c>
      <c r="E9" s="10"/>
      <c r="F9" s="9" t="s">
        <v>8</v>
      </c>
      <c r="G9" s="666" t="s">
        <v>5</v>
      </c>
    </row>
    <row r="10" spans="1:8" ht="15.75" x14ac:dyDescent="0.25">
      <c r="A10" s="8"/>
      <c r="B10" s="5"/>
      <c r="C10" s="5"/>
      <c r="D10" s="11"/>
      <c r="E10" s="11"/>
      <c r="F10" s="11"/>
      <c r="G10" s="8"/>
    </row>
    <row r="11" spans="1:8" ht="15.75" x14ac:dyDescent="0.25">
      <c r="A11" s="8">
        <v>1</v>
      </c>
      <c r="B11" s="7" t="s">
        <v>9</v>
      </c>
      <c r="C11" s="7"/>
      <c r="D11" s="11"/>
      <c r="E11" s="11"/>
      <c r="F11" s="11"/>
      <c r="G11" s="8">
        <v>1</v>
      </c>
    </row>
    <row r="12" spans="1:8" ht="15.75" x14ac:dyDescent="0.2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15.75" x14ac:dyDescent="0.25">
      <c r="A13" s="8">
        <f t="shared" ref="A13:A14" si="0">A12+1</f>
        <v>3</v>
      </c>
      <c r="B13" s="160" t="s">
        <v>10</v>
      </c>
      <c r="C13" s="12"/>
      <c r="D13" s="13">
        <f>'Pg2 Appendix X C10 Comparison'!G28</f>
        <v>57.604364524355333</v>
      </c>
      <c r="E13" s="13"/>
      <c r="F13" s="11" t="s">
        <v>11</v>
      </c>
      <c r="G13" s="8">
        <f t="shared" ref="G13:G14" si="1">G12+1</f>
        <v>3</v>
      </c>
    </row>
    <row r="14" spans="1:8" ht="15.75" x14ac:dyDescent="0.25">
      <c r="A14" s="8">
        <f t="shared" si="0"/>
        <v>4</v>
      </c>
      <c r="B14" s="5"/>
      <c r="C14" s="11"/>
      <c r="D14" s="13"/>
      <c r="E14" s="13"/>
      <c r="F14" s="11"/>
      <c r="G14" s="8">
        <f t="shared" si="1"/>
        <v>4</v>
      </c>
    </row>
    <row r="15" spans="1:8" ht="15.75" x14ac:dyDescent="0.25">
      <c r="A15" s="8">
        <f t="shared" ref="A15:A21" si="2">A14+1</f>
        <v>5</v>
      </c>
      <c r="B15" s="5" t="s">
        <v>12</v>
      </c>
      <c r="C15" s="11"/>
      <c r="D15" s="667">
        <f>'Pg14 Appendix X C10 Int Calc'!G66</f>
        <v>10.319266505287436</v>
      </c>
      <c r="E15" s="14"/>
      <c r="F15" s="11" t="s">
        <v>607</v>
      </c>
      <c r="G15" s="8">
        <f t="shared" ref="G15:G21" si="3">G14+1</f>
        <v>5</v>
      </c>
    </row>
    <row r="16" spans="1:8" ht="15.75" x14ac:dyDescent="0.25">
      <c r="A16" s="8">
        <f t="shared" si="2"/>
        <v>6</v>
      </c>
      <c r="B16" s="5"/>
      <c r="C16" s="11"/>
      <c r="D16" s="15"/>
      <c r="E16" s="15"/>
      <c r="F16" s="11"/>
      <c r="G16" s="8">
        <f t="shared" si="3"/>
        <v>6</v>
      </c>
    </row>
    <row r="17" spans="1:7" ht="15.75" x14ac:dyDescent="0.25">
      <c r="A17" s="8">
        <f t="shared" si="2"/>
        <v>7</v>
      </c>
      <c r="B17" s="527" t="s">
        <v>13</v>
      </c>
      <c r="C17" s="10"/>
      <c r="D17" s="526">
        <f>D13+D15</f>
        <v>67.923631029642763</v>
      </c>
      <c r="E17" s="13"/>
      <c r="F17" s="11" t="s">
        <v>14</v>
      </c>
      <c r="G17" s="8">
        <f t="shared" si="3"/>
        <v>7</v>
      </c>
    </row>
    <row r="18" spans="1:7" ht="15.75" x14ac:dyDescent="0.25">
      <c r="A18" s="8">
        <f t="shared" si="2"/>
        <v>8</v>
      </c>
      <c r="B18" s="5"/>
      <c r="C18" s="11"/>
      <c r="D18" s="154"/>
      <c r="E18" s="5"/>
      <c r="F18" s="5"/>
      <c r="G18" s="8">
        <f t="shared" si="3"/>
        <v>8</v>
      </c>
    </row>
    <row r="19" spans="1:7" ht="15.75" x14ac:dyDescent="0.25">
      <c r="A19" s="8">
        <f t="shared" si="2"/>
        <v>9</v>
      </c>
      <c r="B19" s="267" t="s">
        <v>15</v>
      </c>
      <c r="C19" s="11"/>
      <c r="D19" s="668">
        <v>12</v>
      </c>
      <c r="E19" s="5"/>
      <c r="F19" s="5"/>
      <c r="G19" s="8">
        <f t="shared" si="3"/>
        <v>9</v>
      </c>
    </row>
    <row r="20" spans="1:7" ht="15.75" x14ac:dyDescent="0.25">
      <c r="A20" s="8">
        <f t="shared" si="2"/>
        <v>10</v>
      </c>
      <c r="B20" s="5"/>
      <c r="C20" s="11"/>
      <c r="D20" s="154"/>
      <c r="E20" s="5"/>
      <c r="F20" s="5"/>
      <c r="G20" s="8">
        <f t="shared" si="3"/>
        <v>10</v>
      </c>
    </row>
    <row r="21" spans="1:7" ht="16.5" thickBot="1" x14ac:dyDescent="0.3">
      <c r="A21" s="8">
        <f t="shared" si="2"/>
        <v>11</v>
      </c>
      <c r="B21" s="527" t="s">
        <v>16</v>
      </c>
      <c r="C21" s="5"/>
      <c r="D21" s="630">
        <f>D17/12</f>
        <v>5.6603025858035636</v>
      </c>
      <c r="E21" s="5"/>
      <c r="F21" s="11" t="s">
        <v>17</v>
      </c>
      <c r="G21" s="8">
        <f t="shared" si="3"/>
        <v>11</v>
      </c>
    </row>
    <row r="22" spans="1:7" ht="16.5" thickTop="1" x14ac:dyDescent="0.25">
      <c r="A22" s="8"/>
      <c r="B22" s="156"/>
      <c r="C22" s="5"/>
      <c r="D22" s="368"/>
      <c r="E22" s="5"/>
      <c r="F22" s="5"/>
      <c r="G22" s="5"/>
    </row>
    <row r="23" spans="1:7" ht="15.75" x14ac:dyDescent="0.25">
      <c r="B23" s="5"/>
      <c r="C23" s="5"/>
      <c r="D23" s="5"/>
      <c r="E23" s="5"/>
      <c r="F23" s="5"/>
      <c r="G23" s="5"/>
    </row>
    <row r="24" spans="1:7" ht="17.25" x14ac:dyDescent="0.25">
      <c r="A24" s="16">
        <v>1</v>
      </c>
      <c r="B24" s="17" t="s">
        <v>18</v>
      </c>
      <c r="C24" s="5"/>
      <c r="D24" s="5"/>
      <c r="E24" s="5"/>
      <c r="F24" s="5"/>
      <c r="G24" s="5"/>
    </row>
    <row r="25" spans="1:7" ht="15.75" x14ac:dyDescent="0.25">
      <c r="B25" s="17" t="s">
        <v>633</v>
      </c>
      <c r="C25" s="5"/>
      <c r="D25" s="5"/>
      <c r="E25" s="5"/>
      <c r="F25" s="5"/>
      <c r="G25" s="5"/>
    </row>
    <row r="26" spans="1:7" ht="15.75" x14ac:dyDescent="0.25">
      <c r="B26" s="5"/>
      <c r="C26" s="5"/>
      <c r="D26" s="5"/>
      <c r="E26" s="5"/>
      <c r="F26" s="5"/>
      <c r="G26" s="5"/>
    </row>
    <row r="27" spans="1:7" ht="15.75" x14ac:dyDescent="0.25">
      <c r="B27" s="5"/>
      <c r="C27" s="5"/>
      <c r="D27" s="5"/>
      <c r="E27" s="5"/>
      <c r="F27" s="5"/>
      <c r="G27" s="5"/>
    </row>
    <row r="28" spans="1:7" ht="15.75" x14ac:dyDescent="0.25">
      <c r="B28" s="5"/>
      <c r="C28" s="5"/>
      <c r="D28" s="5"/>
      <c r="E28" s="5"/>
      <c r="F28" s="5"/>
      <c r="G28" s="5"/>
    </row>
    <row r="29" spans="1:7" ht="17.25" x14ac:dyDescent="0.25">
      <c r="A29" s="16"/>
      <c r="B29" s="5"/>
      <c r="C29" s="5"/>
      <c r="D29" s="5"/>
      <c r="E29" s="5"/>
      <c r="F29" s="5"/>
      <c r="G29" s="5"/>
    </row>
    <row r="30" spans="1:7" ht="15.75" x14ac:dyDescent="0.25">
      <c r="B30" s="5"/>
      <c r="C30" s="5"/>
      <c r="D30" s="5"/>
      <c r="E30" s="5"/>
      <c r="F30" s="5"/>
      <c r="G30" s="5"/>
    </row>
    <row r="31" spans="1:7" ht="15.75" x14ac:dyDescent="0.25">
      <c r="B31" s="5"/>
      <c r="C31" s="5"/>
      <c r="D31" s="5"/>
      <c r="E31" s="5"/>
      <c r="F31" s="5"/>
      <c r="G31" s="5"/>
    </row>
    <row r="32" spans="1:7" ht="15.75" x14ac:dyDescent="0.25">
      <c r="B32" s="5"/>
      <c r="C32" s="5"/>
      <c r="D32" s="5"/>
      <c r="E32" s="5"/>
      <c r="F32" s="5"/>
      <c r="G32" s="5"/>
    </row>
    <row r="33" spans="2:7" ht="15.75" x14ac:dyDescent="0.25">
      <c r="B33" s="5"/>
      <c r="C33" s="5"/>
      <c r="D33" s="5"/>
      <c r="E33" s="5"/>
      <c r="F33" s="5"/>
      <c r="G33" s="5"/>
    </row>
    <row r="34" spans="2:7" ht="15.75" x14ac:dyDescent="0.25">
      <c r="B34" s="5"/>
      <c r="C34" s="5"/>
      <c r="D34" s="5"/>
      <c r="E34" s="5"/>
      <c r="F34" s="5"/>
      <c r="G34" s="5"/>
    </row>
    <row r="35" spans="2:7" ht="15.75" x14ac:dyDescent="0.25">
      <c r="B35" s="5"/>
      <c r="C35" s="5"/>
      <c r="D35" s="5"/>
      <c r="E35" s="5"/>
      <c r="F35" s="5"/>
      <c r="G35" s="5"/>
    </row>
    <row r="36" spans="2:7" ht="15.75" x14ac:dyDescent="0.25">
      <c r="B36" s="5"/>
      <c r="C36" s="5"/>
      <c r="D36" s="5"/>
      <c r="E36" s="5"/>
      <c r="F36" s="5"/>
      <c r="G36" s="5"/>
    </row>
    <row r="37" spans="2:7" ht="15.75" x14ac:dyDescent="0.25">
      <c r="B37" s="5"/>
      <c r="C37" s="5"/>
      <c r="D37" s="5"/>
      <c r="E37" s="5"/>
      <c r="F37" s="5"/>
      <c r="G37" s="5"/>
    </row>
    <row r="38" spans="2:7" ht="15.75" x14ac:dyDescent="0.25">
      <c r="B38" s="5"/>
      <c r="C38" s="5"/>
      <c r="D38" s="5"/>
      <c r="E38" s="5"/>
      <c r="F38" s="5"/>
      <c r="G38" s="5"/>
    </row>
    <row r="39" spans="2:7" ht="15.75" x14ac:dyDescent="0.25">
      <c r="B39" s="5"/>
      <c r="C39" s="5"/>
      <c r="D39" s="5"/>
      <c r="E39" s="5"/>
      <c r="F39" s="5"/>
      <c r="G39" s="5"/>
    </row>
    <row r="40" spans="2:7" ht="15.75" x14ac:dyDescent="0.25">
      <c r="B40" s="5"/>
      <c r="C40" s="5"/>
      <c r="D40" s="5"/>
      <c r="E40" s="5"/>
      <c r="F40" s="5"/>
      <c r="G40" s="5"/>
    </row>
    <row r="41" spans="2:7" ht="15.75" x14ac:dyDescent="0.2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6"/>
  <sheetViews>
    <sheetView zoomScale="80" zoomScaleNormal="80" workbookViewId="0"/>
  </sheetViews>
  <sheetFormatPr defaultColWidth="8.85546875" defaultRowHeight="15.75" x14ac:dyDescent="0.25"/>
  <cols>
    <col min="1" max="1" width="5.140625" style="36" bestFit="1" customWidth="1"/>
    <col min="2" max="2" width="71.7109375" style="37" customWidth="1"/>
    <col min="3" max="3" width="21.140625" style="37" customWidth="1"/>
    <col min="4" max="4" width="1.5703125" style="37" customWidth="1"/>
    <col min="5" max="5" width="16.85546875" style="37" customWidth="1"/>
    <col min="6" max="6" width="1.5703125" style="37" customWidth="1"/>
    <col min="7" max="7" width="48.85546875" style="37" customWidth="1"/>
    <col min="8" max="8" width="5.140625" style="37" customWidth="1"/>
    <col min="9" max="9" width="8.85546875" style="37"/>
    <col min="10" max="10" width="20.42578125" style="37" bestFit="1" customWidth="1"/>
    <col min="11" max="16384" width="8.85546875" style="37"/>
  </cols>
  <sheetData>
    <row r="1" spans="1:8" x14ac:dyDescent="0.25">
      <c r="G1" s="38"/>
      <c r="H1" s="36"/>
    </row>
    <row r="2" spans="1:8" x14ac:dyDescent="0.25">
      <c r="B2" s="808" t="s">
        <v>19</v>
      </c>
      <c r="C2" s="808"/>
      <c r="D2" s="808"/>
      <c r="E2" s="808"/>
      <c r="F2" s="808"/>
      <c r="G2" s="808"/>
      <c r="H2" s="36"/>
    </row>
    <row r="3" spans="1:8" x14ac:dyDescent="0.25">
      <c r="B3" s="808" t="s">
        <v>192</v>
      </c>
      <c r="C3" s="808"/>
      <c r="D3" s="808"/>
      <c r="E3" s="808"/>
      <c r="F3" s="808"/>
      <c r="G3" s="808"/>
      <c r="H3" s="36"/>
    </row>
    <row r="4" spans="1:8" x14ac:dyDescent="0.25">
      <c r="B4" s="808" t="s">
        <v>193</v>
      </c>
      <c r="C4" s="808"/>
      <c r="D4" s="808"/>
      <c r="E4" s="808"/>
      <c r="F4" s="808"/>
      <c r="G4" s="808"/>
      <c r="H4" s="36"/>
    </row>
    <row r="5" spans="1:8" x14ac:dyDescent="0.25">
      <c r="B5" s="811" t="s">
        <v>71</v>
      </c>
      <c r="C5" s="811"/>
      <c r="D5" s="811"/>
      <c r="E5" s="811"/>
      <c r="F5" s="811"/>
      <c r="G5" s="811"/>
      <c r="H5" s="36"/>
    </row>
    <row r="6" spans="1:8" x14ac:dyDescent="0.25">
      <c r="B6" s="810" t="s">
        <v>3</v>
      </c>
      <c r="C6" s="812"/>
      <c r="D6" s="812"/>
      <c r="E6" s="812"/>
      <c r="F6" s="812"/>
      <c r="G6" s="812"/>
      <c r="H6" s="36"/>
    </row>
    <row r="7" spans="1:8" x14ac:dyDescent="0.25">
      <c r="B7" s="36"/>
      <c r="C7" s="36"/>
      <c r="D7" s="36"/>
      <c r="E7" s="39"/>
      <c r="F7" s="39"/>
      <c r="G7" s="36"/>
      <c r="H7" s="36"/>
    </row>
    <row r="8" spans="1:8" x14ac:dyDescent="0.25">
      <c r="A8" s="36" t="s">
        <v>4</v>
      </c>
      <c r="B8" s="369"/>
      <c r="C8" s="36" t="s">
        <v>194</v>
      </c>
      <c r="D8" s="369"/>
      <c r="E8" s="40"/>
      <c r="F8" s="40"/>
      <c r="G8" s="36"/>
      <c r="H8" s="36" t="s">
        <v>4</v>
      </c>
    </row>
    <row r="9" spans="1:8" x14ac:dyDescent="0.25">
      <c r="A9" s="36" t="s">
        <v>5</v>
      </c>
      <c r="C9" s="313" t="s">
        <v>195</v>
      </c>
      <c r="D9" s="369"/>
      <c r="E9" s="314" t="s">
        <v>7</v>
      </c>
      <c r="F9" s="40"/>
      <c r="G9" s="313" t="s">
        <v>8</v>
      </c>
      <c r="H9" s="36" t="s">
        <v>5</v>
      </c>
    </row>
    <row r="10" spans="1:8" x14ac:dyDescent="0.25">
      <c r="C10" s="369"/>
      <c r="D10" s="369"/>
      <c r="E10" s="40"/>
      <c r="F10" s="40"/>
      <c r="G10" s="36"/>
      <c r="H10" s="36"/>
    </row>
    <row r="11" spans="1:8" x14ac:dyDescent="0.25">
      <c r="A11" s="36">
        <v>1</v>
      </c>
      <c r="B11" s="315" t="s">
        <v>196</v>
      </c>
      <c r="C11" s="369"/>
      <c r="D11" s="369"/>
      <c r="E11" s="40"/>
      <c r="F11" s="40"/>
      <c r="G11" s="36"/>
      <c r="H11" s="36">
        <f>A11</f>
        <v>1</v>
      </c>
    </row>
    <row r="12" spans="1:8" x14ac:dyDescent="0.25">
      <c r="A12" s="36">
        <f>+A11+1</f>
        <v>2</v>
      </c>
      <c r="B12" s="267" t="s">
        <v>197</v>
      </c>
      <c r="C12" s="369"/>
      <c r="D12" s="369"/>
      <c r="E12" s="42">
        <v>124.17823999999997</v>
      </c>
      <c r="F12" s="40"/>
      <c r="G12" s="36" t="s">
        <v>198</v>
      </c>
      <c r="H12" s="36">
        <f>H11+1</f>
        <v>2</v>
      </c>
    </row>
    <row r="13" spans="1:8" x14ac:dyDescent="0.25">
      <c r="A13" s="36">
        <f t="shared" ref="A13:A70" si="0">+A12+1</f>
        <v>3</v>
      </c>
      <c r="C13" s="369"/>
      <c r="D13" s="369"/>
      <c r="E13" s="40"/>
      <c r="F13" s="40"/>
      <c r="G13" s="36"/>
      <c r="H13" s="36">
        <f t="shared" ref="H13:H70" si="1">H12+1</f>
        <v>3</v>
      </c>
    </row>
    <row r="14" spans="1:8" x14ac:dyDescent="0.25">
      <c r="A14" s="36">
        <f t="shared" si="0"/>
        <v>4</v>
      </c>
      <c r="B14" s="315" t="s">
        <v>199</v>
      </c>
      <c r="G14" s="36"/>
      <c r="H14" s="36">
        <f t="shared" si="1"/>
        <v>4</v>
      </c>
    </row>
    <row r="15" spans="1:8" x14ac:dyDescent="0.25">
      <c r="A15" s="36">
        <f t="shared" si="0"/>
        <v>5</v>
      </c>
      <c r="B15" s="18" t="s">
        <v>200</v>
      </c>
      <c r="C15" s="36"/>
      <c r="E15" s="42">
        <v>100389.4182</v>
      </c>
      <c r="G15" s="36" t="s">
        <v>201</v>
      </c>
      <c r="H15" s="36">
        <f t="shared" si="1"/>
        <v>5</v>
      </c>
    </row>
    <row r="16" spans="1:8" x14ac:dyDescent="0.25">
      <c r="A16" s="36">
        <f t="shared" si="0"/>
        <v>6</v>
      </c>
      <c r="B16" s="24" t="s">
        <v>202</v>
      </c>
      <c r="E16" s="44"/>
      <c r="G16" s="36"/>
      <c r="H16" s="36">
        <f t="shared" si="1"/>
        <v>6</v>
      </c>
    </row>
    <row r="17" spans="1:10" x14ac:dyDescent="0.25">
      <c r="A17" s="36">
        <f t="shared" si="0"/>
        <v>7</v>
      </c>
      <c r="B17" s="18" t="s">
        <v>203</v>
      </c>
      <c r="C17" s="36"/>
      <c r="E17" s="45">
        <v>-5200.3239999999996</v>
      </c>
      <c r="G17" s="36" t="s">
        <v>204</v>
      </c>
      <c r="H17" s="36">
        <f t="shared" si="1"/>
        <v>7</v>
      </c>
    </row>
    <row r="18" spans="1:10" x14ac:dyDescent="0.25">
      <c r="A18" s="36">
        <f t="shared" si="0"/>
        <v>8</v>
      </c>
      <c r="B18" s="18" t="s">
        <v>205</v>
      </c>
      <c r="E18" s="45">
        <v>-2469.29151</v>
      </c>
      <c r="G18" s="36" t="s">
        <v>206</v>
      </c>
      <c r="H18" s="36">
        <f t="shared" si="1"/>
        <v>8</v>
      </c>
    </row>
    <row r="19" spans="1:10" x14ac:dyDescent="0.25">
      <c r="A19" s="36">
        <f t="shared" si="0"/>
        <v>9</v>
      </c>
      <c r="B19" s="267" t="s">
        <v>207</v>
      </c>
      <c r="E19" s="45">
        <v>-6458.357</v>
      </c>
      <c r="G19" s="36" t="s">
        <v>208</v>
      </c>
      <c r="H19" s="36">
        <f t="shared" si="1"/>
        <v>9</v>
      </c>
    </row>
    <row r="20" spans="1:10" x14ac:dyDescent="0.25">
      <c r="A20" s="36">
        <f t="shared" si="0"/>
        <v>10</v>
      </c>
      <c r="B20" s="267" t="s">
        <v>209</v>
      </c>
      <c r="E20" s="45">
        <v>-51.42</v>
      </c>
      <c r="G20" s="36" t="s">
        <v>210</v>
      </c>
      <c r="H20" s="36">
        <f t="shared" si="1"/>
        <v>10</v>
      </c>
    </row>
    <row r="21" spans="1:10" x14ac:dyDescent="0.25">
      <c r="A21" s="36">
        <f t="shared" si="0"/>
        <v>11</v>
      </c>
      <c r="B21" s="18" t="s">
        <v>211</v>
      </c>
      <c r="E21" s="45">
        <v>0</v>
      </c>
      <c r="G21" s="36" t="s">
        <v>212</v>
      </c>
      <c r="H21" s="36">
        <f t="shared" si="1"/>
        <v>11</v>
      </c>
    </row>
    <row r="22" spans="1:10" x14ac:dyDescent="0.25">
      <c r="A22" s="36">
        <f t="shared" si="0"/>
        <v>12</v>
      </c>
      <c r="B22" s="18" t="s">
        <v>213</v>
      </c>
      <c r="E22" s="45">
        <v>-325.87329000000057</v>
      </c>
      <c r="G22" s="36" t="s">
        <v>214</v>
      </c>
      <c r="H22" s="36">
        <f t="shared" si="1"/>
        <v>12</v>
      </c>
    </row>
    <row r="23" spans="1:10" x14ac:dyDescent="0.25">
      <c r="A23" s="36">
        <f t="shared" si="0"/>
        <v>13</v>
      </c>
      <c r="B23" s="267" t="s">
        <v>215</v>
      </c>
      <c r="E23" s="45">
        <v>-15716.966</v>
      </c>
      <c r="G23" s="36" t="s">
        <v>216</v>
      </c>
      <c r="H23" s="36">
        <f t="shared" si="1"/>
        <v>13</v>
      </c>
    </row>
    <row r="24" spans="1:10" x14ac:dyDescent="0.25">
      <c r="A24" s="36">
        <f t="shared" si="0"/>
        <v>14</v>
      </c>
      <c r="B24" s="267" t="s">
        <v>217</v>
      </c>
      <c r="E24" s="45">
        <v>-26863.351999999999</v>
      </c>
      <c r="G24" s="36" t="s">
        <v>218</v>
      </c>
      <c r="H24" s="36">
        <f t="shared" si="1"/>
        <v>14</v>
      </c>
    </row>
    <row r="25" spans="1:10" x14ac:dyDescent="0.25">
      <c r="A25" s="36">
        <f t="shared" si="0"/>
        <v>15</v>
      </c>
      <c r="B25" s="267" t="s">
        <v>219</v>
      </c>
      <c r="E25" s="45">
        <v>-1113.175</v>
      </c>
      <c r="G25" s="36" t="s">
        <v>220</v>
      </c>
      <c r="H25" s="36">
        <f t="shared" si="1"/>
        <v>15</v>
      </c>
    </row>
    <row r="26" spans="1:10" x14ac:dyDescent="0.25">
      <c r="A26" s="36">
        <f t="shared" si="0"/>
        <v>16</v>
      </c>
      <c r="B26" s="18" t="s">
        <v>221</v>
      </c>
      <c r="E26" s="46">
        <v>1614.6884600000001</v>
      </c>
      <c r="G26" s="36" t="s">
        <v>222</v>
      </c>
      <c r="H26" s="36">
        <f t="shared" si="1"/>
        <v>16</v>
      </c>
    </row>
    <row r="27" spans="1:10" x14ac:dyDescent="0.25">
      <c r="A27" s="36">
        <f t="shared" si="0"/>
        <v>17</v>
      </c>
      <c r="B27" s="18" t="s">
        <v>223</v>
      </c>
      <c r="E27" s="101">
        <f>SUM(E15:E26)</f>
        <v>43805.347860000002</v>
      </c>
      <c r="F27" s="25"/>
      <c r="G27" s="31" t="str">
        <f>"Sum Lines "&amp;A15&amp;" thru "&amp;A26</f>
        <v>Sum Lines 5 thru 16</v>
      </c>
      <c r="H27" s="36">
        <f t="shared" si="1"/>
        <v>17</v>
      </c>
    </row>
    <row r="28" spans="1:10" x14ac:dyDescent="0.25">
      <c r="A28" s="36">
        <f t="shared" si="0"/>
        <v>18</v>
      </c>
      <c r="E28" s="35"/>
      <c r="H28" s="36">
        <f t="shared" si="1"/>
        <v>18</v>
      </c>
    </row>
    <row r="29" spans="1:10" x14ac:dyDescent="0.25">
      <c r="A29" s="36">
        <f t="shared" si="0"/>
        <v>19</v>
      </c>
      <c r="B29" s="316" t="s">
        <v>224</v>
      </c>
      <c r="E29" s="47"/>
      <c r="G29" s="36"/>
      <c r="H29" s="36">
        <f t="shared" si="1"/>
        <v>19</v>
      </c>
    </row>
    <row r="30" spans="1:10" x14ac:dyDescent="0.25">
      <c r="A30" s="36">
        <f t="shared" si="0"/>
        <v>20</v>
      </c>
      <c r="B30" s="24" t="s">
        <v>225</v>
      </c>
      <c r="C30" s="36"/>
      <c r="E30" s="42">
        <f>'Pg8.2 Rev AH-3'!D33</f>
        <v>595483.66295999987</v>
      </c>
      <c r="G30" s="36" t="s">
        <v>613</v>
      </c>
      <c r="H30" s="36">
        <f t="shared" si="1"/>
        <v>20</v>
      </c>
    </row>
    <row r="31" spans="1:10" x14ac:dyDescent="0.25">
      <c r="A31" s="36">
        <f t="shared" si="0"/>
        <v>21</v>
      </c>
      <c r="B31" s="24" t="s">
        <v>227</v>
      </c>
      <c r="E31" s="47" t="s">
        <v>228</v>
      </c>
      <c r="G31" s="36"/>
      <c r="H31" s="36">
        <f t="shared" si="1"/>
        <v>21</v>
      </c>
    </row>
    <row r="32" spans="1:10" x14ac:dyDescent="0.25">
      <c r="A32" s="36">
        <f t="shared" si="0"/>
        <v>22</v>
      </c>
      <c r="B32" s="183" t="s">
        <v>229</v>
      </c>
      <c r="E32" s="45">
        <f>-'Pg8.2 Rev AH-3'!D72</f>
        <v>-2360.7200000000003</v>
      </c>
      <c r="G32" s="36" t="s">
        <v>614</v>
      </c>
      <c r="H32" s="36">
        <f t="shared" si="1"/>
        <v>22</v>
      </c>
      <c r="I32" s="317"/>
      <c r="J32" s="49"/>
    </row>
    <row r="33" spans="1:10" ht="31.5" x14ac:dyDescent="0.25">
      <c r="A33" s="36">
        <f t="shared" si="0"/>
        <v>23</v>
      </c>
      <c r="B33" s="96" t="s">
        <v>231</v>
      </c>
      <c r="E33" s="45">
        <f>-('Pg8.2 Rev AH-3'!D37+'Pg8.2 Rev AH-3'!D41+'Pg8.2 Rev AH-3'!D48+'Pg8.2 Rev AH-3'!D56+'Pg8.2 Rev AH-3'!D60+'Pg8.2 Rev AH-3'!D66+'Pg8.2 Rev AH-3'!D76)</f>
        <v>555.40800074000003</v>
      </c>
      <c r="G33" s="48" t="s">
        <v>615</v>
      </c>
      <c r="H33" s="36">
        <f t="shared" si="1"/>
        <v>23</v>
      </c>
      <c r="I33" s="317"/>
      <c r="J33" s="49"/>
    </row>
    <row r="34" spans="1:10" x14ac:dyDescent="0.25">
      <c r="A34" s="36">
        <f t="shared" si="0"/>
        <v>24</v>
      </c>
      <c r="B34" s="183" t="s">
        <v>233</v>
      </c>
      <c r="E34" s="45">
        <f>-'Pg8.2 Rev AH-3'!D68</f>
        <v>0</v>
      </c>
      <c r="G34" s="36" t="s">
        <v>611</v>
      </c>
      <c r="H34" s="36">
        <f t="shared" si="1"/>
        <v>24</v>
      </c>
      <c r="I34" s="317"/>
      <c r="J34" s="49"/>
    </row>
    <row r="35" spans="1:10" ht="15.75" customHeight="1" x14ac:dyDescent="0.25">
      <c r="A35" s="36">
        <f t="shared" si="0"/>
        <v>25</v>
      </c>
      <c r="B35" s="96" t="s">
        <v>235</v>
      </c>
      <c r="E35" s="45">
        <f>-'Pg8.2 Rev AH-3'!D69</f>
        <v>-2085.1866</v>
      </c>
      <c r="G35" s="36" t="s">
        <v>616</v>
      </c>
      <c r="H35" s="36">
        <f t="shared" si="1"/>
        <v>25</v>
      </c>
      <c r="I35" s="317"/>
      <c r="J35" s="49"/>
    </row>
    <row r="36" spans="1:10" x14ac:dyDescent="0.25">
      <c r="A36" s="36">
        <f t="shared" si="0"/>
        <v>26</v>
      </c>
      <c r="B36" s="183" t="s">
        <v>237</v>
      </c>
      <c r="E36" s="45">
        <f>-'Pg8.2 Rev AH-3'!D65</f>
        <v>-13015.817289999999</v>
      </c>
      <c r="G36" s="36" t="s">
        <v>617</v>
      </c>
      <c r="H36" s="36">
        <f t="shared" si="1"/>
        <v>26</v>
      </c>
    </row>
    <row r="37" spans="1:10" x14ac:dyDescent="0.25">
      <c r="A37" s="36">
        <f t="shared" si="0"/>
        <v>27</v>
      </c>
      <c r="B37" s="183" t="s">
        <v>239</v>
      </c>
      <c r="E37" s="45">
        <v>0</v>
      </c>
      <c r="G37" s="585" t="s">
        <v>240</v>
      </c>
      <c r="H37" s="36">
        <f t="shared" si="1"/>
        <v>27</v>
      </c>
      <c r="J37" s="49"/>
    </row>
    <row r="38" spans="1:10" x14ac:dyDescent="0.25">
      <c r="A38" s="36">
        <f t="shared" si="0"/>
        <v>28</v>
      </c>
      <c r="B38" s="183" t="s">
        <v>241</v>
      </c>
      <c r="E38" s="45">
        <f>-'Pg8.2 Rev AH-3'!E71</f>
        <v>204.155</v>
      </c>
      <c r="G38" s="48" t="s">
        <v>618</v>
      </c>
      <c r="H38" s="36">
        <f t="shared" si="1"/>
        <v>28</v>
      </c>
      <c r="I38" s="317"/>
    </row>
    <row r="39" spans="1:10" x14ac:dyDescent="0.25">
      <c r="A39" s="36">
        <f t="shared" si="0"/>
        <v>29</v>
      </c>
      <c r="B39" s="183" t="s">
        <v>243</v>
      </c>
      <c r="E39" s="45">
        <f>-'Pg8.2 Rev AH-3'!E64</f>
        <v>-130506.76528000001</v>
      </c>
      <c r="G39" s="36" t="s">
        <v>623</v>
      </c>
      <c r="H39" s="36">
        <f t="shared" si="1"/>
        <v>29</v>
      </c>
      <c r="I39" s="317"/>
      <c r="J39" s="49"/>
    </row>
    <row r="40" spans="1:10" x14ac:dyDescent="0.25">
      <c r="A40" s="36">
        <f t="shared" si="0"/>
        <v>30</v>
      </c>
      <c r="B40" s="183" t="s">
        <v>245</v>
      </c>
      <c r="E40" s="45">
        <f>-'Pg8.2 Rev AH-3'!D77</f>
        <v>-12.147468914000001</v>
      </c>
      <c r="G40" s="48" t="s">
        <v>624</v>
      </c>
      <c r="H40" s="36">
        <f t="shared" si="1"/>
        <v>30</v>
      </c>
    </row>
    <row r="41" spans="1:10" x14ac:dyDescent="0.25">
      <c r="A41" s="36">
        <f t="shared" si="0"/>
        <v>31</v>
      </c>
      <c r="B41" s="183" t="s">
        <v>247</v>
      </c>
      <c r="E41" s="45">
        <f>-'Pg8.2 Rev AH-3'!D67</f>
        <v>-40.544630000000005</v>
      </c>
      <c r="G41" s="48" t="s">
        <v>619</v>
      </c>
      <c r="H41" s="36">
        <f t="shared" si="1"/>
        <v>31</v>
      </c>
    </row>
    <row r="42" spans="1:10" ht="47.25" x14ac:dyDescent="0.25">
      <c r="A42" s="36">
        <f t="shared" si="0"/>
        <v>32</v>
      </c>
      <c r="B42" s="96" t="s">
        <v>249</v>
      </c>
      <c r="E42" s="45">
        <f>-('Pg8.2 Rev AH-3'!D38+'Pg8.2 Rev AH-3'!D39+'Pg8.2 Rev AH-3'!D42+'Pg8.2 Rev AH-3'!D43+'Pg8.2 Rev AH-3'!E46+'Pg8.2 Rev AH-3'!D49+'Pg8.2 Rev AH-3'!D50+'Pg8.2 Rev AH-3'!D51+'Pg8.2 Rev AH-3'!D52+'Pg8.2 Rev AH-3'!D53+'Pg8.2 Rev AH-3'!D57+'Pg8.2 Rev AH-3'!D58+'Pg8.2 Rev AH-3'!D61+'Pg8.2 Rev AH-3'!D62+'Pg8.2 Rev AH-3'!D70+'Pg8.2 Rev AH-3'!D74+'Pg8.2 Rev AH-3'!D75)</f>
        <v>-24673.96447250203</v>
      </c>
      <c r="G42" s="48" t="s">
        <v>620</v>
      </c>
      <c r="H42" s="36">
        <f t="shared" si="1"/>
        <v>32</v>
      </c>
    </row>
    <row r="43" spans="1:10" x14ac:dyDescent="0.25">
      <c r="A43" s="36">
        <f t="shared" si="0"/>
        <v>33</v>
      </c>
      <c r="B43" s="37" t="s">
        <v>587</v>
      </c>
      <c r="E43" s="45">
        <v>-90.331999999999994</v>
      </c>
      <c r="F43" s="685"/>
      <c r="G43" s="36" t="s">
        <v>621</v>
      </c>
      <c r="H43" s="36">
        <f t="shared" si="1"/>
        <v>33</v>
      </c>
    </row>
    <row r="44" spans="1:10" x14ac:dyDescent="0.25">
      <c r="A44" s="36">
        <f t="shared" si="0"/>
        <v>34</v>
      </c>
      <c r="B44" s="607" t="s">
        <v>251</v>
      </c>
      <c r="E44" s="686">
        <f>'Pg8.2 Rev AH-3'!L33</f>
        <v>16552.13812</v>
      </c>
      <c r="F44" s="25" t="s">
        <v>31</v>
      </c>
      <c r="G44" s="36" t="s">
        <v>622</v>
      </c>
      <c r="H44" s="36">
        <f t="shared" si="1"/>
        <v>34</v>
      </c>
    </row>
    <row r="45" spans="1:10" x14ac:dyDescent="0.25">
      <c r="A45" s="36">
        <f t="shared" si="0"/>
        <v>35</v>
      </c>
      <c r="B45" s="24" t="s">
        <v>252</v>
      </c>
      <c r="E45" s="51">
        <f>SUM(E30:E44)</f>
        <v>440009.88633932389</v>
      </c>
      <c r="F45" s="25" t="s">
        <v>31</v>
      </c>
      <c r="G45" s="36" t="str">
        <f>"Sum Lines "&amp;A30&amp;" thru "&amp;A44</f>
        <v>Sum Lines 20 thru 34</v>
      </c>
      <c r="H45" s="36">
        <f t="shared" si="1"/>
        <v>35</v>
      </c>
      <c r="J45" s="50"/>
    </row>
    <row r="46" spans="1:10" x14ac:dyDescent="0.25">
      <c r="A46" s="36">
        <f t="shared" si="0"/>
        <v>36</v>
      </c>
      <c r="B46" s="24" t="s">
        <v>253</v>
      </c>
      <c r="E46" s="318">
        <f>-'Pg8.2 Rev AH-3'!F17</f>
        <v>-8310.402</v>
      </c>
      <c r="G46" s="36" t="s">
        <v>625</v>
      </c>
      <c r="H46" s="36">
        <f t="shared" si="1"/>
        <v>36</v>
      </c>
      <c r="J46" s="50"/>
    </row>
    <row r="47" spans="1:10" x14ac:dyDescent="0.25">
      <c r="A47" s="36">
        <f t="shared" si="0"/>
        <v>37</v>
      </c>
      <c r="B47" s="24" t="s">
        <v>255</v>
      </c>
      <c r="E47" s="51">
        <f>SUM(E45:E46)</f>
        <v>431699.48433932388</v>
      </c>
      <c r="F47" s="25" t="s">
        <v>31</v>
      </c>
      <c r="G47" s="36" t="str">
        <f>"Line "&amp;A45&amp;" + Line "&amp;A46</f>
        <v>Line 35 + Line 36</v>
      </c>
      <c r="H47" s="36">
        <f t="shared" si="1"/>
        <v>37</v>
      </c>
    </row>
    <row r="48" spans="1:10" x14ac:dyDescent="0.25">
      <c r="A48" s="36">
        <f t="shared" si="0"/>
        <v>38</v>
      </c>
      <c r="B48" s="18" t="s">
        <v>256</v>
      </c>
      <c r="E48" s="319">
        <v>0.10684340052956183</v>
      </c>
      <c r="G48" s="31" t="s">
        <v>257</v>
      </c>
      <c r="H48" s="36">
        <f t="shared" si="1"/>
        <v>38</v>
      </c>
    </row>
    <row r="49" spans="1:9" x14ac:dyDescent="0.25">
      <c r="A49" s="36">
        <f t="shared" si="0"/>
        <v>39</v>
      </c>
      <c r="B49" s="24" t="s">
        <v>258</v>
      </c>
      <c r="E49" s="52">
        <f>E47*E48</f>
        <v>46124.240913671689</v>
      </c>
      <c r="F49" s="25" t="s">
        <v>31</v>
      </c>
      <c r="G49" s="36" t="str">
        <f>"Line "&amp;A47&amp;" x Line "&amp;A48</f>
        <v>Line 37 x Line 38</v>
      </c>
      <c r="H49" s="36">
        <f t="shared" si="1"/>
        <v>39</v>
      </c>
    </row>
    <row r="50" spans="1:9" x14ac:dyDescent="0.25">
      <c r="A50" s="36">
        <f t="shared" si="0"/>
        <v>40</v>
      </c>
      <c r="B50" s="37" t="s">
        <v>259</v>
      </c>
      <c r="E50" s="382">
        <f>E70*(-E46)</f>
        <v>3335.0369387060014</v>
      </c>
      <c r="G50" s="36" t="str">
        <f>"Negative of Line "&amp;A46&amp;" x Line "&amp;A70</f>
        <v>Negative of Line 36 x Line 60</v>
      </c>
      <c r="H50" s="36">
        <f t="shared" si="1"/>
        <v>40</v>
      </c>
    </row>
    <row r="51" spans="1:9" ht="16.5" thickBot="1" x14ac:dyDescent="0.3">
      <c r="A51" s="36">
        <f t="shared" si="0"/>
        <v>41</v>
      </c>
      <c r="B51" s="43" t="s">
        <v>260</v>
      </c>
      <c r="E51" s="320">
        <f>E50+E49</f>
        <v>49459.277852377687</v>
      </c>
      <c r="F51" s="25" t="s">
        <v>31</v>
      </c>
      <c r="G51" s="36" t="str">
        <f>"Line "&amp;A49&amp;" + Line "&amp;A50</f>
        <v>Line 39 + Line 40</v>
      </c>
      <c r="H51" s="36">
        <f t="shared" si="1"/>
        <v>41</v>
      </c>
      <c r="I51" s="43"/>
    </row>
    <row r="52" spans="1:9" ht="16.5" thickTop="1" x14ac:dyDescent="0.25">
      <c r="A52" s="36">
        <f t="shared" si="0"/>
        <v>42</v>
      </c>
      <c r="B52" s="53"/>
      <c r="E52" s="54"/>
      <c r="G52" s="36"/>
      <c r="H52" s="36">
        <f t="shared" si="1"/>
        <v>42</v>
      </c>
    </row>
    <row r="53" spans="1:9" x14ac:dyDescent="0.25">
      <c r="A53" s="36">
        <f t="shared" si="0"/>
        <v>43</v>
      </c>
      <c r="B53" s="26" t="s">
        <v>261</v>
      </c>
      <c r="E53" s="55"/>
      <c r="G53" s="36"/>
      <c r="H53" s="36">
        <f t="shared" si="1"/>
        <v>43</v>
      </c>
    </row>
    <row r="54" spans="1:9" x14ac:dyDescent="0.25">
      <c r="A54" s="36">
        <f t="shared" si="0"/>
        <v>44</v>
      </c>
      <c r="B54" s="24" t="s">
        <v>262</v>
      </c>
      <c r="E54" s="32">
        <v>6717604.4084030753</v>
      </c>
      <c r="G54" s="36" t="s">
        <v>263</v>
      </c>
      <c r="H54" s="36">
        <f t="shared" si="1"/>
        <v>44</v>
      </c>
    </row>
    <row r="55" spans="1:9" x14ac:dyDescent="0.25">
      <c r="A55" s="36">
        <f t="shared" si="0"/>
        <v>45</v>
      </c>
      <c r="B55" s="24" t="s">
        <v>264</v>
      </c>
      <c r="E55" s="56">
        <v>0</v>
      </c>
      <c r="G55" s="36" t="s">
        <v>265</v>
      </c>
      <c r="H55" s="36">
        <f t="shared" si="1"/>
        <v>45</v>
      </c>
    </row>
    <row r="56" spans="1:9" x14ac:dyDescent="0.25">
      <c r="A56" s="36">
        <f t="shared" si="0"/>
        <v>46</v>
      </c>
      <c r="B56" s="24" t="s">
        <v>266</v>
      </c>
      <c r="E56" s="57">
        <v>49193.51899590245</v>
      </c>
      <c r="G56" s="58" t="s">
        <v>267</v>
      </c>
      <c r="H56" s="36">
        <f t="shared" si="1"/>
        <v>46</v>
      </c>
    </row>
    <row r="57" spans="1:9" x14ac:dyDescent="0.25">
      <c r="A57" s="36">
        <f t="shared" si="0"/>
        <v>47</v>
      </c>
      <c r="B57" s="24" t="s">
        <v>268</v>
      </c>
      <c r="E57" s="321">
        <v>121720.77530805826</v>
      </c>
      <c r="G57" s="58" t="s">
        <v>269</v>
      </c>
      <c r="H57" s="36">
        <f t="shared" si="1"/>
        <v>47</v>
      </c>
    </row>
    <row r="58" spans="1:9" ht="16.5" thickBot="1" x14ac:dyDescent="0.3">
      <c r="A58" s="36">
        <f t="shared" si="0"/>
        <v>48</v>
      </c>
      <c r="B58" s="24" t="s">
        <v>270</v>
      </c>
      <c r="E58" s="59">
        <f>SUM(E54:E57)</f>
        <v>6888518.7027070364</v>
      </c>
      <c r="G58" s="36" t="str">
        <f>"Sum Lines "&amp;A54&amp;" thru "&amp;A57</f>
        <v>Sum Lines 44 thru 47</v>
      </c>
      <c r="H58" s="36">
        <f t="shared" si="1"/>
        <v>48</v>
      </c>
      <c r="I58" s="43"/>
    </row>
    <row r="59" spans="1:9" ht="16.5" thickTop="1" x14ac:dyDescent="0.25">
      <c r="A59" s="36">
        <f t="shared" si="0"/>
        <v>49</v>
      </c>
      <c r="B59" s="53"/>
      <c r="E59" s="35"/>
      <c r="G59" s="36"/>
      <c r="H59" s="36">
        <f t="shared" si="1"/>
        <v>49</v>
      </c>
    </row>
    <row r="60" spans="1:9" x14ac:dyDescent="0.25">
      <c r="A60" s="36">
        <f t="shared" si="0"/>
        <v>50</v>
      </c>
      <c r="B60" s="24" t="s">
        <v>271</v>
      </c>
      <c r="E60" s="60">
        <f>E54</f>
        <v>6717604.4084030753</v>
      </c>
      <c r="G60" s="61" t="str">
        <f>"Line "&amp;A54&amp;" Above"</f>
        <v>Line 44 Above</v>
      </c>
      <c r="H60" s="36">
        <f t="shared" si="1"/>
        <v>50</v>
      </c>
    </row>
    <row r="61" spans="1:9" x14ac:dyDescent="0.25">
      <c r="A61" s="36">
        <f t="shared" si="0"/>
        <v>51</v>
      </c>
      <c r="B61" s="24" t="s">
        <v>272</v>
      </c>
      <c r="E61" s="33">
        <v>557045.05025384598</v>
      </c>
      <c r="G61" s="58" t="s">
        <v>273</v>
      </c>
      <c r="H61" s="36">
        <f t="shared" si="1"/>
        <v>51</v>
      </c>
    </row>
    <row r="62" spans="1:9" x14ac:dyDescent="0.25">
      <c r="A62" s="36">
        <f t="shared" si="0"/>
        <v>52</v>
      </c>
      <c r="B62" s="24" t="s">
        <v>274</v>
      </c>
      <c r="E62" s="56">
        <v>0</v>
      </c>
      <c r="G62" s="36" t="s">
        <v>265</v>
      </c>
      <c r="H62" s="36">
        <f t="shared" si="1"/>
        <v>52</v>
      </c>
    </row>
    <row r="63" spans="1:9" x14ac:dyDescent="0.25">
      <c r="A63" s="36">
        <f t="shared" si="0"/>
        <v>53</v>
      </c>
      <c r="B63" s="24" t="s">
        <v>275</v>
      </c>
      <c r="E63" s="33">
        <v>529465.61728230771</v>
      </c>
      <c r="G63" s="58" t="s">
        <v>276</v>
      </c>
      <c r="H63" s="36">
        <f t="shared" si="1"/>
        <v>53</v>
      </c>
    </row>
    <row r="64" spans="1:9" x14ac:dyDescent="0.25">
      <c r="A64" s="36">
        <f t="shared" si="0"/>
        <v>54</v>
      </c>
      <c r="B64" s="24" t="s">
        <v>277</v>
      </c>
      <c r="E64" s="33">
        <v>7761348.9741599998</v>
      </c>
      <c r="G64" s="58" t="s">
        <v>278</v>
      </c>
      <c r="H64" s="36">
        <f t="shared" si="1"/>
        <v>54</v>
      </c>
    </row>
    <row r="65" spans="1:9" x14ac:dyDescent="0.25">
      <c r="A65" s="36">
        <f t="shared" si="0"/>
        <v>55</v>
      </c>
      <c r="B65" s="43" t="s">
        <v>264</v>
      </c>
      <c r="E65" s="56">
        <v>0</v>
      </c>
      <c r="G65" s="36" t="s">
        <v>265</v>
      </c>
      <c r="H65" s="36">
        <f t="shared" si="1"/>
        <v>55</v>
      </c>
    </row>
    <row r="66" spans="1:9" x14ac:dyDescent="0.25">
      <c r="A66" s="36">
        <f t="shared" si="0"/>
        <v>56</v>
      </c>
      <c r="B66" s="24" t="s">
        <v>279</v>
      </c>
      <c r="E66" s="33">
        <v>460426.36935999995</v>
      </c>
      <c r="G66" s="58" t="s">
        <v>280</v>
      </c>
      <c r="H66" s="36">
        <f t="shared" si="1"/>
        <v>56</v>
      </c>
    </row>
    <row r="67" spans="1:9" x14ac:dyDescent="0.25">
      <c r="A67" s="36">
        <f t="shared" si="0"/>
        <v>57</v>
      </c>
      <c r="B67" s="24" t="s">
        <v>281</v>
      </c>
      <c r="E67" s="322">
        <v>1139244.6768331761</v>
      </c>
      <c r="G67" s="58" t="s">
        <v>282</v>
      </c>
      <c r="H67" s="36">
        <f t="shared" si="1"/>
        <v>57</v>
      </c>
    </row>
    <row r="68" spans="1:9" ht="16.5" thickBot="1" x14ac:dyDescent="0.3">
      <c r="A68" s="36">
        <f t="shared" si="0"/>
        <v>58</v>
      </c>
      <c r="B68" s="24" t="s">
        <v>283</v>
      </c>
      <c r="E68" s="62">
        <f>SUM(E60:E67)</f>
        <v>17165135.096292403</v>
      </c>
      <c r="G68" s="36" t="str">
        <f>"Sum Lines "&amp;A60&amp;" thru "&amp;A67</f>
        <v>Sum Lines 50 thru 57</v>
      </c>
      <c r="H68" s="36">
        <f t="shared" si="1"/>
        <v>58</v>
      </c>
      <c r="I68" s="43"/>
    </row>
    <row r="69" spans="1:9" ht="16.5" thickTop="1" x14ac:dyDescent="0.25">
      <c r="A69" s="36">
        <f t="shared" si="0"/>
        <v>59</v>
      </c>
      <c r="E69" s="63"/>
      <c r="G69" s="36"/>
      <c r="H69" s="36">
        <f t="shared" si="1"/>
        <v>59</v>
      </c>
    </row>
    <row r="70" spans="1:9" ht="19.5" thickBot="1" x14ac:dyDescent="0.3">
      <c r="A70" s="36">
        <f t="shared" si="0"/>
        <v>60</v>
      </c>
      <c r="B70" s="24" t="s">
        <v>284</v>
      </c>
      <c r="E70" s="64">
        <f>E58/E68</f>
        <v>0.40130873797753724</v>
      </c>
      <c r="G70" s="36" t="str">
        <f>"Line "&amp;A58&amp;" / Line "&amp;A68</f>
        <v>Line 48 / Line 58</v>
      </c>
      <c r="H70" s="36">
        <f t="shared" si="1"/>
        <v>60</v>
      </c>
      <c r="I70" s="43"/>
    </row>
    <row r="71" spans="1:9" ht="16.5" thickTop="1" x14ac:dyDescent="0.25">
      <c r="B71" s="24"/>
      <c r="E71" s="790"/>
      <c r="G71" s="36"/>
      <c r="H71" s="36"/>
      <c r="I71" s="43"/>
    </row>
    <row r="72" spans="1:9" x14ac:dyDescent="0.25">
      <c r="B72" s="43" t="s">
        <v>228</v>
      </c>
      <c r="E72" s="65"/>
      <c r="G72" s="36"/>
      <c r="H72" s="36"/>
    </row>
    <row r="73" spans="1:9" x14ac:dyDescent="0.25">
      <c r="A73" s="25" t="s">
        <v>31</v>
      </c>
      <c r="B73" s="23" t="s">
        <v>630</v>
      </c>
      <c r="E73" s="65"/>
      <c r="F73" s="65"/>
      <c r="G73" s="36"/>
      <c r="H73" s="36"/>
    </row>
    <row r="74" spans="1:9" x14ac:dyDescent="0.25">
      <c r="A74" s="25"/>
      <c r="B74" s="23" t="s">
        <v>631</v>
      </c>
      <c r="E74" s="65"/>
      <c r="F74" s="65"/>
      <c r="G74" s="36"/>
      <c r="H74" s="36"/>
    </row>
    <row r="75" spans="1:9" ht="18.75" x14ac:dyDescent="0.25">
      <c r="A75" s="67">
        <v>1</v>
      </c>
      <c r="B75" s="24" t="s">
        <v>285</v>
      </c>
      <c r="H75" s="36"/>
    </row>
    <row r="76" spans="1:9" x14ac:dyDescent="0.25">
      <c r="B76" s="43"/>
      <c r="E76" s="63"/>
      <c r="F76" s="63"/>
      <c r="G76" s="36"/>
      <c r="H76" s="36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75" header="0.35" footer="0.25"/>
  <pageSetup scale="57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5409-8AFD-4739-8EB0-BE49F1F5B5BC}">
  <sheetPr>
    <pageSetUpPr fitToPage="1"/>
  </sheetPr>
  <dimension ref="A1:J75"/>
  <sheetViews>
    <sheetView zoomScale="80" zoomScaleNormal="80" workbookViewId="0"/>
  </sheetViews>
  <sheetFormatPr defaultColWidth="8.85546875" defaultRowHeight="15.75" x14ac:dyDescent="0.25"/>
  <cols>
    <col min="1" max="1" width="5.140625" style="36" bestFit="1" customWidth="1"/>
    <col min="2" max="2" width="80.5703125" style="37" customWidth="1"/>
    <col min="3" max="3" width="21.140625" style="37" customWidth="1"/>
    <col min="4" max="4" width="1.5703125" style="37" customWidth="1"/>
    <col min="5" max="5" width="16.85546875" style="37" customWidth="1"/>
    <col min="6" max="6" width="1.5703125" style="37" customWidth="1"/>
    <col min="7" max="7" width="53.85546875" style="37" customWidth="1"/>
    <col min="8" max="8" width="5.140625" style="37" customWidth="1"/>
    <col min="9" max="9" width="8.85546875" style="37"/>
    <col min="10" max="10" width="20.42578125" style="37" bestFit="1" customWidth="1"/>
    <col min="11" max="16384" width="8.85546875" style="37"/>
  </cols>
  <sheetData>
    <row r="1" spans="1:8" x14ac:dyDescent="0.25">
      <c r="A1" s="691" t="s">
        <v>637</v>
      </c>
    </row>
    <row r="2" spans="1:8" x14ac:dyDescent="0.25">
      <c r="G2" s="38"/>
      <c r="H2" s="36"/>
    </row>
    <row r="3" spans="1:8" x14ac:dyDescent="0.25">
      <c r="B3" s="808" t="s">
        <v>19</v>
      </c>
      <c r="C3" s="808"/>
      <c r="D3" s="808"/>
      <c r="E3" s="808"/>
      <c r="F3" s="808"/>
      <c r="G3" s="808"/>
      <c r="H3" s="36"/>
    </row>
    <row r="4" spans="1:8" x14ac:dyDescent="0.25">
      <c r="B4" s="808" t="s">
        <v>192</v>
      </c>
      <c r="C4" s="808"/>
      <c r="D4" s="808"/>
      <c r="E4" s="808"/>
      <c r="F4" s="808"/>
      <c r="G4" s="808"/>
      <c r="H4" s="36"/>
    </row>
    <row r="5" spans="1:8" x14ac:dyDescent="0.25">
      <c r="B5" s="808" t="s">
        <v>193</v>
      </c>
      <c r="C5" s="808"/>
      <c r="D5" s="808"/>
      <c r="E5" s="808"/>
      <c r="F5" s="808"/>
      <c r="G5" s="808"/>
      <c r="H5" s="36"/>
    </row>
    <row r="6" spans="1:8" x14ac:dyDescent="0.25">
      <c r="B6" s="811" t="s">
        <v>71</v>
      </c>
      <c r="C6" s="811"/>
      <c r="D6" s="811"/>
      <c r="E6" s="811"/>
      <c r="F6" s="811"/>
      <c r="G6" s="811"/>
      <c r="H6" s="36"/>
    </row>
    <row r="7" spans="1:8" x14ac:dyDescent="0.25">
      <c r="B7" s="810" t="s">
        <v>3</v>
      </c>
      <c r="C7" s="812"/>
      <c r="D7" s="812"/>
      <c r="E7" s="812"/>
      <c r="F7" s="812"/>
      <c r="G7" s="812"/>
      <c r="H7" s="36"/>
    </row>
    <row r="8" spans="1:8" x14ac:dyDescent="0.25">
      <c r="B8" s="36"/>
      <c r="C8" s="36"/>
      <c r="D8" s="36"/>
      <c r="E8" s="39"/>
      <c r="F8" s="39"/>
      <c r="G8" s="36"/>
      <c r="H8" s="36"/>
    </row>
    <row r="9" spans="1:8" x14ac:dyDescent="0.25">
      <c r="A9" s="36" t="s">
        <v>4</v>
      </c>
      <c r="B9" s="369"/>
      <c r="C9" s="36" t="s">
        <v>194</v>
      </c>
      <c r="D9" s="369"/>
      <c r="E9" s="40"/>
      <c r="F9" s="40"/>
      <c r="G9" s="36"/>
      <c r="H9" s="36" t="s">
        <v>4</v>
      </c>
    </row>
    <row r="10" spans="1:8" x14ac:dyDescent="0.25">
      <c r="A10" s="36" t="s">
        <v>5</v>
      </c>
      <c r="C10" s="313" t="s">
        <v>195</v>
      </c>
      <c r="D10" s="369"/>
      <c r="E10" s="314" t="s">
        <v>7</v>
      </c>
      <c r="F10" s="40"/>
      <c r="G10" s="313" t="s">
        <v>8</v>
      </c>
      <c r="H10" s="36" t="s">
        <v>5</v>
      </c>
    </row>
    <row r="11" spans="1:8" x14ac:dyDescent="0.25">
      <c r="C11" s="369"/>
      <c r="D11" s="369"/>
      <c r="E11" s="40"/>
      <c r="F11" s="40"/>
      <c r="G11" s="36"/>
      <c r="H11" s="36"/>
    </row>
    <row r="12" spans="1:8" x14ac:dyDescent="0.25">
      <c r="A12" s="36">
        <v>1</v>
      </c>
      <c r="B12" s="315" t="s">
        <v>196</v>
      </c>
      <c r="C12" s="369"/>
      <c r="D12" s="369"/>
      <c r="E12" s="40"/>
      <c r="F12" s="40"/>
      <c r="G12" s="36"/>
      <c r="H12" s="36">
        <f>A12</f>
        <v>1</v>
      </c>
    </row>
    <row r="13" spans="1:8" x14ac:dyDescent="0.25">
      <c r="A13" s="36">
        <f>+A12+1</f>
        <v>2</v>
      </c>
      <c r="B13" s="267" t="s">
        <v>197</v>
      </c>
      <c r="C13" s="369"/>
      <c r="D13" s="369"/>
      <c r="E13" s="42">
        <v>124.17823999999997</v>
      </c>
      <c r="F13" s="40"/>
      <c r="G13" s="36" t="s">
        <v>198</v>
      </c>
      <c r="H13" s="36">
        <f>H12+1</f>
        <v>2</v>
      </c>
    </row>
    <row r="14" spans="1:8" x14ac:dyDescent="0.25">
      <c r="A14" s="36">
        <f t="shared" ref="A14:A70" si="0">+A13+1</f>
        <v>3</v>
      </c>
      <c r="C14" s="369"/>
      <c r="D14" s="369"/>
      <c r="E14" s="40"/>
      <c r="F14" s="40"/>
      <c r="G14" s="36"/>
      <c r="H14" s="36">
        <f t="shared" ref="H14:H70" si="1">H13+1</f>
        <v>3</v>
      </c>
    </row>
    <row r="15" spans="1:8" x14ac:dyDescent="0.25">
      <c r="A15" s="36">
        <f t="shared" si="0"/>
        <v>4</v>
      </c>
      <c r="B15" s="315" t="s">
        <v>199</v>
      </c>
      <c r="G15" s="36"/>
      <c r="H15" s="36">
        <f t="shared" si="1"/>
        <v>4</v>
      </c>
    </row>
    <row r="16" spans="1:8" x14ac:dyDescent="0.25">
      <c r="A16" s="36">
        <f t="shared" si="0"/>
        <v>5</v>
      </c>
      <c r="B16" s="18" t="s">
        <v>200</v>
      </c>
      <c r="C16" s="36"/>
      <c r="E16" s="42">
        <v>100389.4182</v>
      </c>
      <c r="G16" s="36" t="s">
        <v>201</v>
      </c>
      <c r="H16" s="36">
        <f t="shared" si="1"/>
        <v>5</v>
      </c>
    </row>
    <row r="17" spans="1:8" x14ac:dyDescent="0.25">
      <c r="A17" s="36">
        <f t="shared" si="0"/>
        <v>6</v>
      </c>
      <c r="B17" s="24" t="s">
        <v>202</v>
      </c>
      <c r="E17" s="44"/>
      <c r="G17" s="36"/>
      <c r="H17" s="36">
        <f t="shared" si="1"/>
        <v>6</v>
      </c>
    </row>
    <row r="18" spans="1:8" x14ac:dyDescent="0.25">
      <c r="A18" s="36">
        <f t="shared" si="0"/>
        <v>7</v>
      </c>
      <c r="B18" s="18" t="s">
        <v>203</v>
      </c>
      <c r="C18" s="36"/>
      <c r="E18" s="45">
        <v>-5200.3239999999996</v>
      </c>
      <c r="G18" s="36" t="s">
        <v>204</v>
      </c>
      <c r="H18" s="36">
        <f t="shared" si="1"/>
        <v>7</v>
      </c>
    </row>
    <row r="19" spans="1:8" x14ac:dyDescent="0.25">
      <c r="A19" s="36">
        <f t="shared" si="0"/>
        <v>8</v>
      </c>
      <c r="B19" s="18" t="s">
        <v>205</v>
      </c>
      <c r="E19" s="45">
        <v>-2469.29151</v>
      </c>
      <c r="G19" s="36" t="s">
        <v>206</v>
      </c>
      <c r="H19" s="36">
        <f t="shared" si="1"/>
        <v>8</v>
      </c>
    </row>
    <row r="20" spans="1:8" x14ac:dyDescent="0.25">
      <c r="A20" s="36">
        <f t="shared" si="0"/>
        <v>9</v>
      </c>
      <c r="B20" s="267" t="s">
        <v>207</v>
      </c>
      <c r="E20" s="45">
        <v>-6458.357</v>
      </c>
      <c r="G20" s="36" t="s">
        <v>208</v>
      </c>
      <c r="H20" s="36">
        <f t="shared" si="1"/>
        <v>9</v>
      </c>
    </row>
    <row r="21" spans="1:8" x14ac:dyDescent="0.25">
      <c r="A21" s="36">
        <f t="shared" si="0"/>
        <v>10</v>
      </c>
      <c r="B21" s="267" t="s">
        <v>209</v>
      </c>
      <c r="E21" s="45">
        <v>-51.42</v>
      </c>
      <c r="G21" s="36" t="s">
        <v>210</v>
      </c>
      <c r="H21" s="36">
        <f t="shared" si="1"/>
        <v>10</v>
      </c>
    </row>
    <row r="22" spans="1:8" x14ac:dyDescent="0.25">
      <c r="A22" s="36">
        <f t="shared" si="0"/>
        <v>11</v>
      </c>
      <c r="B22" s="18" t="s">
        <v>211</v>
      </c>
      <c r="E22" s="45">
        <v>0</v>
      </c>
      <c r="G22" s="36" t="s">
        <v>212</v>
      </c>
      <c r="H22" s="36">
        <f t="shared" si="1"/>
        <v>11</v>
      </c>
    </row>
    <row r="23" spans="1:8" x14ac:dyDescent="0.25">
      <c r="A23" s="36">
        <f t="shared" si="0"/>
        <v>12</v>
      </c>
      <c r="B23" s="18" t="s">
        <v>213</v>
      </c>
      <c r="E23" s="45">
        <v>-325.87329000000057</v>
      </c>
      <c r="G23" s="36" t="s">
        <v>214</v>
      </c>
      <c r="H23" s="36">
        <f t="shared" si="1"/>
        <v>12</v>
      </c>
    </row>
    <row r="24" spans="1:8" x14ac:dyDescent="0.25">
      <c r="A24" s="36">
        <f t="shared" si="0"/>
        <v>13</v>
      </c>
      <c r="B24" s="267" t="s">
        <v>215</v>
      </c>
      <c r="E24" s="45">
        <v>-15716.966</v>
      </c>
      <c r="G24" s="36" t="s">
        <v>216</v>
      </c>
      <c r="H24" s="36">
        <f t="shared" si="1"/>
        <v>13</v>
      </c>
    </row>
    <row r="25" spans="1:8" x14ac:dyDescent="0.25">
      <c r="A25" s="36">
        <f t="shared" si="0"/>
        <v>14</v>
      </c>
      <c r="B25" s="267" t="s">
        <v>217</v>
      </c>
      <c r="E25" s="45">
        <v>-26863.351999999999</v>
      </c>
      <c r="G25" s="36" t="s">
        <v>218</v>
      </c>
      <c r="H25" s="36">
        <f t="shared" si="1"/>
        <v>14</v>
      </c>
    </row>
    <row r="26" spans="1:8" x14ac:dyDescent="0.25">
      <c r="A26" s="36">
        <f t="shared" si="0"/>
        <v>15</v>
      </c>
      <c r="B26" s="267" t="s">
        <v>219</v>
      </c>
      <c r="E26" s="45">
        <v>-1113.175</v>
      </c>
      <c r="G26" s="36" t="s">
        <v>220</v>
      </c>
      <c r="H26" s="36">
        <f t="shared" si="1"/>
        <v>15</v>
      </c>
    </row>
    <row r="27" spans="1:8" x14ac:dyDescent="0.25">
      <c r="A27" s="36">
        <f t="shared" si="0"/>
        <v>16</v>
      </c>
      <c r="B27" s="18" t="s">
        <v>221</v>
      </c>
      <c r="E27" s="46">
        <v>1614.6884600000001</v>
      </c>
      <c r="G27" s="36" t="s">
        <v>222</v>
      </c>
      <c r="H27" s="36">
        <f t="shared" si="1"/>
        <v>16</v>
      </c>
    </row>
    <row r="28" spans="1:8" x14ac:dyDescent="0.25">
      <c r="A28" s="36">
        <f t="shared" si="0"/>
        <v>17</v>
      </c>
      <c r="B28" s="18" t="s">
        <v>223</v>
      </c>
      <c r="E28" s="101">
        <f>SUM(E16:E27)</f>
        <v>43805.347860000002</v>
      </c>
      <c r="F28" s="25"/>
      <c r="G28" s="31" t="str">
        <f>"Sum Lines "&amp;A16&amp;" thru "&amp;A27</f>
        <v>Sum Lines 5 thru 16</v>
      </c>
      <c r="H28" s="36">
        <f t="shared" si="1"/>
        <v>17</v>
      </c>
    </row>
    <row r="29" spans="1:8" x14ac:dyDescent="0.25">
      <c r="A29" s="36">
        <f t="shared" si="0"/>
        <v>18</v>
      </c>
      <c r="E29" s="35"/>
      <c r="H29" s="36">
        <f t="shared" si="1"/>
        <v>18</v>
      </c>
    </row>
    <row r="30" spans="1:8" x14ac:dyDescent="0.25">
      <c r="A30" s="36">
        <f t="shared" si="0"/>
        <v>19</v>
      </c>
      <c r="B30" s="316" t="s">
        <v>224</v>
      </c>
      <c r="E30" s="47"/>
      <c r="G30" s="36"/>
      <c r="H30" s="36">
        <f t="shared" si="1"/>
        <v>19</v>
      </c>
    </row>
    <row r="31" spans="1:8" x14ac:dyDescent="0.25">
      <c r="A31" s="36">
        <f t="shared" si="0"/>
        <v>20</v>
      </c>
      <c r="B31" s="24" t="s">
        <v>225</v>
      </c>
      <c r="C31" s="36"/>
      <c r="E31" s="42">
        <v>595483.66295999987</v>
      </c>
      <c r="G31" s="36" t="s">
        <v>226</v>
      </c>
      <c r="H31" s="36">
        <f t="shared" si="1"/>
        <v>20</v>
      </c>
    </row>
    <row r="32" spans="1:8" x14ac:dyDescent="0.25">
      <c r="A32" s="36">
        <f t="shared" si="0"/>
        <v>21</v>
      </c>
      <c r="B32" s="24" t="s">
        <v>227</v>
      </c>
      <c r="E32" s="47" t="s">
        <v>228</v>
      </c>
      <c r="G32" s="36"/>
      <c r="H32" s="36">
        <f t="shared" si="1"/>
        <v>21</v>
      </c>
    </row>
    <row r="33" spans="1:10" x14ac:dyDescent="0.25">
      <c r="A33" s="36">
        <f t="shared" si="0"/>
        <v>22</v>
      </c>
      <c r="B33" s="183" t="s">
        <v>229</v>
      </c>
      <c r="E33" s="45">
        <v>-2360.7200000000003</v>
      </c>
      <c r="G33" s="36" t="s">
        <v>230</v>
      </c>
      <c r="H33" s="36">
        <f t="shared" si="1"/>
        <v>22</v>
      </c>
      <c r="I33" s="317"/>
      <c r="J33" s="49"/>
    </row>
    <row r="34" spans="1:10" ht="31.5" x14ac:dyDescent="0.25">
      <c r="A34" s="36">
        <f t="shared" si="0"/>
        <v>23</v>
      </c>
      <c r="B34" s="96" t="s">
        <v>231</v>
      </c>
      <c r="E34" s="45">
        <v>555.40800074000003</v>
      </c>
      <c r="G34" s="48" t="s">
        <v>232</v>
      </c>
      <c r="H34" s="36">
        <f t="shared" si="1"/>
        <v>23</v>
      </c>
      <c r="I34" s="317"/>
      <c r="J34" s="49"/>
    </row>
    <row r="35" spans="1:10" x14ac:dyDescent="0.25">
      <c r="A35" s="36">
        <f t="shared" si="0"/>
        <v>24</v>
      </c>
      <c r="B35" s="183" t="s">
        <v>233</v>
      </c>
      <c r="E35" s="45">
        <v>0</v>
      </c>
      <c r="G35" s="36" t="s">
        <v>234</v>
      </c>
      <c r="H35" s="36">
        <f t="shared" si="1"/>
        <v>24</v>
      </c>
      <c r="I35" s="317"/>
      <c r="J35" s="49"/>
    </row>
    <row r="36" spans="1:10" ht="15.75" customHeight="1" x14ac:dyDescent="0.25">
      <c r="A36" s="36">
        <f t="shared" si="0"/>
        <v>25</v>
      </c>
      <c r="B36" s="96" t="s">
        <v>235</v>
      </c>
      <c r="E36" s="45">
        <v>-2085.1866</v>
      </c>
      <c r="G36" s="36" t="s">
        <v>236</v>
      </c>
      <c r="H36" s="36">
        <f t="shared" si="1"/>
        <v>25</v>
      </c>
      <c r="I36" s="317"/>
      <c r="J36" s="49"/>
    </row>
    <row r="37" spans="1:10" x14ac:dyDescent="0.25">
      <c r="A37" s="36">
        <f t="shared" si="0"/>
        <v>26</v>
      </c>
      <c r="B37" s="183" t="s">
        <v>237</v>
      </c>
      <c r="E37" s="45">
        <v>-13015.817289999999</v>
      </c>
      <c r="G37" s="36" t="s">
        <v>238</v>
      </c>
      <c r="H37" s="36">
        <f t="shared" si="1"/>
        <v>26</v>
      </c>
    </row>
    <row r="38" spans="1:10" x14ac:dyDescent="0.25">
      <c r="A38" s="36">
        <f t="shared" si="0"/>
        <v>27</v>
      </c>
      <c r="B38" s="183" t="s">
        <v>239</v>
      </c>
      <c r="E38" s="45">
        <v>0</v>
      </c>
      <c r="G38" s="585" t="s">
        <v>240</v>
      </c>
      <c r="H38" s="36">
        <f t="shared" si="1"/>
        <v>27</v>
      </c>
      <c r="J38" s="49"/>
    </row>
    <row r="39" spans="1:10" x14ac:dyDescent="0.25">
      <c r="A39" s="36">
        <f t="shared" si="0"/>
        <v>28</v>
      </c>
      <c r="B39" s="183" t="s">
        <v>241</v>
      </c>
      <c r="E39" s="45">
        <v>204.155</v>
      </c>
      <c r="G39" s="48" t="s">
        <v>242</v>
      </c>
      <c r="H39" s="36">
        <f t="shared" si="1"/>
        <v>28</v>
      </c>
      <c r="I39" s="317"/>
    </row>
    <row r="40" spans="1:10" x14ac:dyDescent="0.25">
      <c r="A40" s="36">
        <f t="shared" si="0"/>
        <v>29</v>
      </c>
      <c r="B40" s="183" t="s">
        <v>243</v>
      </c>
      <c r="E40" s="45">
        <v>-130506.76528000001</v>
      </c>
      <c r="G40" s="36" t="s">
        <v>244</v>
      </c>
      <c r="H40" s="36">
        <f t="shared" si="1"/>
        <v>29</v>
      </c>
      <c r="I40" s="317"/>
      <c r="J40" s="49"/>
    </row>
    <row r="41" spans="1:10" x14ac:dyDescent="0.25">
      <c r="A41" s="36">
        <f t="shared" si="0"/>
        <v>30</v>
      </c>
      <c r="B41" s="183" t="s">
        <v>245</v>
      </c>
      <c r="E41" s="45">
        <v>-12.147468914000001</v>
      </c>
      <c r="G41" s="48" t="s">
        <v>246</v>
      </c>
      <c r="H41" s="36">
        <f t="shared" si="1"/>
        <v>30</v>
      </c>
    </row>
    <row r="42" spans="1:10" x14ac:dyDescent="0.25">
      <c r="A42" s="36">
        <f t="shared" si="0"/>
        <v>31</v>
      </c>
      <c r="B42" s="183" t="s">
        <v>247</v>
      </c>
      <c r="E42" s="45">
        <v>-40.544630000000005</v>
      </c>
      <c r="G42" s="48" t="s">
        <v>248</v>
      </c>
      <c r="H42" s="36">
        <f t="shared" si="1"/>
        <v>31</v>
      </c>
    </row>
    <row r="43" spans="1:10" ht="47.25" x14ac:dyDescent="0.25">
      <c r="A43" s="36">
        <f t="shared" si="0"/>
        <v>32</v>
      </c>
      <c r="B43" s="96" t="s">
        <v>249</v>
      </c>
      <c r="E43" s="45">
        <v>-24673.96447250203</v>
      </c>
      <c r="G43" s="48" t="s">
        <v>250</v>
      </c>
      <c r="H43" s="36">
        <f t="shared" si="1"/>
        <v>32</v>
      </c>
    </row>
    <row r="44" spans="1:10" x14ac:dyDescent="0.25">
      <c r="A44" s="36">
        <f t="shared" si="0"/>
        <v>33</v>
      </c>
      <c r="B44" s="37" t="s">
        <v>251</v>
      </c>
      <c r="E44" s="736">
        <v>-90.331999999999994</v>
      </c>
      <c r="F44" s="25" t="s">
        <v>31</v>
      </c>
      <c r="G44" s="36" t="s">
        <v>591</v>
      </c>
      <c r="H44" s="36">
        <f t="shared" si="1"/>
        <v>33</v>
      </c>
    </row>
    <row r="45" spans="1:10" x14ac:dyDescent="0.25">
      <c r="A45" s="36">
        <f t="shared" si="0"/>
        <v>34</v>
      </c>
      <c r="B45" s="24" t="s">
        <v>252</v>
      </c>
      <c r="E45" s="51">
        <f>SUM(E31:E44)</f>
        <v>423457.74821932387</v>
      </c>
      <c r="F45" s="25" t="s">
        <v>31</v>
      </c>
      <c r="G45" s="36" t="str">
        <f>"Sum Lines "&amp;A31&amp;" thru "&amp;A44</f>
        <v>Sum Lines 20 thru 33</v>
      </c>
      <c r="H45" s="36">
        <f t="shared" si="1"/>
        <v>34</v>
      </c>
      <c r="J45" s="50"/>
    </row>
    <row r="46" spans="1:10" x14ac:dyDescent="0.25">
      <c r="A46" s="36">
        <f t="shared" si="0"/>
        <v>35</v>
      </c>
      <c r="B46" s="24" t="s">
        <v>253</v>
      </c>
      <c r="E46" s="318">
        <v>-8310.402</v>
      </c>
      <c r="G46" s="36" t="s">
        <v>254</v>
      </c>
      <c r="H46" s="36">
        <f t="shared" si="1"/>
        <v>35</v>
      </c>
      <c r="J46" s="50"/>
    </row>
    <row r="47" spans="1:10" x14ac:dyDescent="0.25">
      <c r="A47" s="36">
        <f t="shared" si="0"/>
        <v>36</v>
      </c>
      <c r="B47" s="24" t="s">
        <v>255</v>
      </c>
      <c r="E47" s="51">
        <f>SUM(E45:E46)</f>
        <v>415147.34621932387</v>
      </c>
      <c r="F47" s="25" t="s">
        <v>31</v>
      </c>
      <c r="G47" s="36" t="str">
        <f>"Line "&amp;A45&amp;" + Line "&amp;A46</f>
        <v>Line 34 + Line 35</v>
      </c>
      <c r="H47" s="36">
        <f t="shared" si="1"/>
        <v>36</v>
      </c>
    </row>
    <row r="48" spans="1:10" x14ac:dyDescent="0.25">
      <c r="A48" s="36">
        <f t="shared" si="0"/>
        <v>37</v>
      </c>
      <c r="B48" s="18" t="s">
        <v>256</v>
      </c>
      <c r="E48" s="319">
        <v>0.10684340052956183</v>
      </c>
      <c r="G48" s="31" t="s">
        <v>257</v>
      </c>
      <c r="H48" s="36">
        <f t="shared" si="1"/>
        <v>37</v>
      </c>
    </row>
    <row r="49" spans="1:9" x14ac:dyDescent="0.25">
      <c r="A49" s="36">
        <f t="shared" si="0"/>
        <v>38</v>
      </c>
      <c r="B49" s="24" t="s">
        <v>258</v>
      </c>
      <c r="E49" s="52">
        <f>E47*E48</f>
        <v>44355.754190895896</v>
      </c>
      <c r="F49" s="25" t="s">
        <v>31</v>
      </c>
      <c r="G49" s="36" t="str">
        <f>"Line "&amp;A47&amp;" x Line "&amp;A48</f>
        <v>Line 36 x Line 37</v>
      </c>
      <c r="H49" s="36">
        <f t="shared" si="1"/>
        <v>38</v>
      </c>
    </row>
    <row r="50" spans="1:9" x14ac:dyDescent="0.25">
      <c r="A50" s="36">
        <f t="shared" si="0"/>
        <v>39</v>
      </c>
      <c r="B50" s="37" t="s">
        <v>259</v>
      </c>
      <c r="E50" s="382">
        <f>E70*(-E46)</f>
        <v>3335.0369387060014</v>
      </c>
      <c r="G50" s="36" t="str">
        <f>"Negative of Line "&amp;A46&amp;" x Line "&amp;A70</f>
        <v>Negative of Line 35 x Line 59</v>
      </c>
      <c r="H50" s="36">
        <f t="shared" si="1"/>
        <v>39</v>
      </c>
    </row>
    <row r="51" spans="1:9" ht="16.5" thickBot="1" x14ac:dyDescent="0.3">
      <c r="A51" s="36">
        <f t="shared" si="0"/>
        <v>40</v>
      </c>
      <c r="B51" s="43" t="s">
        <v>260</v>
      </c>
      <c r="E51" s="320">
        <f>E50+E49</f>
        <v>47690.791129601894</v>
      </c>
      <c r="F51" s="25" t="s">
        <v>31</v>
      </c>
      <c r="G51" s="36" t="str">
        <f>"Line "&amp;A49&amp;" + Line "&amp;A50</f>
        <v>Line 38 + Line 39</v>
      </c>
      <c r="H51" s="36">
        <f t="shared" si="1"/>
        <v>40</v>
      </c>
      <c r="I51" s="43"/>
    </row>
    <row r="52" spans="1:9" ht="16.5" thickTop="1" x14ac:dyDescent="0.25">
      <c r="A52" s="36">
        <f t="shared" si="0"/>
        <v>41</v>
      </c>
      <c r="B52" s="53"/>
      <c r="E52" s="54"/>
      <c r="G52" s="36"/>
      <c r="H52" s="36">
        <f t="shared" si="1"/>
        <v>41</v>
      </c>
    </row>
    <row r="53" spans="1:9" x14ac:dyDescent="0.25">
      <c r="A53" s="36">
        <f t="shared" si="0"/>
        <v>42</v>
      </c>
      <c r="B53" s="26" t="s">
        <v>261</v>
      </c>
      <c r="E53" s="55"/>
      <c r="G53" s="36"/>
      <c r="H53" s="36">
        <f t="shared" si="1"/>
        <v>42</v>
      </c>
    </row>
    <row r="54" spans="1:9" x14ac:dyDescent="0.25">
      <c r="A54" s="36">
        <f t="shared" si="0"/>
        <v>43</v>
      </c>
      <c r="B54" s="24" t="s">
        <v>262</v>
      </c>
      <c r="E54" s="32">
        <v>6717604.4084030753</v>
      </c>
      <c r="G54" s="36" t="s">
        <v>263</v>
      </c>
      <c r="H54" s="36">
        <f t="shared" si="1"/>
        <v>43</v>
      </c>
    </row>
    <row r="55" spans="1:9" x14ac:dyDescent="0.25">
      <c r="A55" s="36">
        <f t="shared" si="0"/>
        <v>44</v>
      </c>
      <c r="B55" s="24" t="s">
        <v>264</v>
      </c>
      <c r="E55" s="56">
        <v>0</v>
      </c>
      <c r="G55" s="36" t="s">
        <v>265</v>
      </c>
      <c r="H55" s="36">
        <f t="shared" si="1"/>
        <v>44</v>
      </c>
    </row>
    <row r="56" spans="1:9" x14ac:dyDescent="0.25">
      <c r="A56" s="36">
        <f t="shared" si="0"/>
        <v>45</v>
      </c>
      <c r="B56" s="24" t="s">
        <v>266</v>
      </c>
      <c r="E56" s="57">
        <v>49193.51899590245</v>
      </c>
      <c r="G56" s="58" t="s">
        <v>267</v>
      </c>
      <c r="H56" s="36">
        <f t="shared" si="1"/>
        <v>45</v>
      </c>
    </row>
    <row r="57" spans="1:9" x14ac:dyDescent="0.25">
      <c r="A57" s="36">
        <f t="shared" si="0"/>
        <v>46</v>
      </c>
      <c r="B57" s="24" t="s">
        <v>268</v>
      </c>
      <c r="E57" s="321">
        <v>121720.77530805826</v>
      </c>
      <c r="G57" s="58" t="s">
        <v>269</v>
      </c>
      <c r="H57" s="36">
        <f t="shared" si="1"/>
        <v>46</v>
      </c>
    </row>
    <row r="58" spans="1:9" ht="16.5" thickBot="1" x14ac:dyDescent="0.3">
      <c r="A58" s="36">
        <f t="shared" si="0"/>
        <v>47</v>
      </c>
      <c r="B58" s="24" t="s">
        <v>270</v>
      </c>
      <c r="E58" s="59">
        <f>SUM(E54:E57)</f>
        <v>6888518.7027070364</v>
      </c>
      <c r="G58" s="36" t="str">
        <f>"Sum Lines "&amp;A54&amp;" thru "&amp;A57</f>
        <v>Sum Lines 43 thru 46</v>
      </c>
      <c r="H58" s="36">
        <f t="shared" si="1"/>
        <v>47</v>
      </c>
      <c r="I58" s="43"/>
    </row>
    <row r="59" spans="1:9" ht="16.5" thickTop="1" x14ac:dyDescent="0.25">
      <c r="A59" s="36">
        <f t="shared" si="0"/>
        <v>48</v>
      </c>
      <c r="B59" s="53"/>
      <c r="E59" s="35"/>
      <c r="G59" s="36"/>
      <c r="H59" s="36">
        <f t="shared" si="1"/>
        <v>48</v>
      </c>
    </row>
    <row r="60" spans="1:9" x14ac:dyDescent="0.25">
      <c r="A60" s="36">
        <f t="shared" si="0"/>
        <v>49</v>
      </c>
      <c r="B60" s="24" t="s">
        <v>271</v>
      </c>
      <c r="E60" s="60">
        <f>E54</f>
        <v>6717604.4084030753</v>
      </c>
      <c r="G60" s="61" t="str">
        <f>"Line "&amp;A54&amp;" Above"</f>
        <v>Line 43 Above</v>
      </c>
      <c r="H60" s="36">
        <f t="shared" si="1"/>
        <v>49</v>
      </c>
    </row>
    <row r="61" spans="1:9" x14ac:dyDescent="0.25">
      <c r="A61" s="36">
        <f t="shared" si="0"/>
        <v>50</v>
      </c>
      <c r="B61" s="24" t="s">
        <v>272</v>
      </c>
      <c r="E61" s="33">
        <v>557045.05025384598</v>
      </c>
      <c r="G61" s="58" t="s">
        <v>273</v>
      </c>
      <c r="H61" s="36">
        <f t="shared" si="1"/>
        <v>50</v>
      </c>
    </row>
    <row r="62" spans="1:9" x14ac:dyDescent="0.25">
      <c r="A62" s="36">
        <f t="shared" si="0"/>
        <v>51</v>
      </c>
      <c r="B62" s="24" t="s">
        <v>274</v>
      </c>
      <c r="E62" s="56">
        <v>0</v>
      </c>
      <c r="G62" s="36" t="s">
        <v>265</v>
      </c>
      <c r="H62" s="36">
        <f t="shared" si="1"/>
        <v>51</v>
      </c>
    </row>
    <row r="63" spans="1:9" x14ac:dyDescent="0.25">
      <c r="A63" s="36">
        <f t="shared" si="0"/>
        <v>52</v>
      </c>
      <c r="B63" s="24" t="s">
        <v>275</v>
      </c>
      <c r="E63" s="33">
        <v>529465.61728230771</v>
      </c>
      <c r="G63" s="58" t="s">
        <v>276</v>
      </c>
      <c r="H63" s="36">
        <f t="shared" si="1"/>
        <v>52</v>
      </c>
    </row>
    <row r="64" spans="1:9" x14ac:dyDescent="0.25">
      <c r="A64" s="36">
        <f t="shared" si="0"/>
        <v>53</v>
      </c>
      <c r="B64" s="24" t="s">
        <v>277</v>
      </c>
      <c r="E64" s="33">
        <v>7761348.9741599998</v>
      </c>
      <c r="G64" s="58" t="s">
        <v>278</v>
      </c>
      <c r="H64" s="36">
        <f t="shared" si="1"/>
        <v>53</v>
      </c>
    </row>
    <row r="65" spans="1:9" x14ac:dyDescent="0.25">
      <c r="A65" s="36">
        <f t="shared" si="0"/>
        <v>54</v>
      </c>
      <c r="B65" s="43" t="s">
        <v>264</v>
      </c>
      <c r="E65" s="56">
        <v>0</v>
      </c>
      <c r="G65" s="36" t="s">
        <v>265</v>
      </c>
      <c r="H65" s="36">
        <f t="shared" si="1"/>
        <v>54</v>
      </c>
    </row>
    <row r="66" spans="1:9" x14ac:dyDescent="0.25">
      <c r="A66" s="36">
        <f t="shared" si="0"/>
        <v>55</v>
      </c>
      <c r="B66" s="24" t="s">
        <v>279</v>
      </c>
      <c r="E66" s="33">
        <v>460426.36935999995</v>
      </c>
      <c r="G66" s="58" t="s">
        <v>280</v>
      </c>
      <c r="H66" s="36">
        <f t="shared" si="1"/>
        <v>55</v>
      </c>
    </row>
    <row r="67" spans="1:9" x14ac:dyDescent="0.25">
      <c r="A67" s="36">
        <f t="shared" si="0"/>
        <v>56</v>
      </c>
      <c r="B67" s="24" t="s">
        <v>281</v>
      </c>
      <c r="E67" s="322">
        <v>1139244.6768331761</v>
      </c>
      <c r="G67" s="58" t="s">
        <v>282</v>
      </c>
      <c r="H67" s="36">
        <f t="shared" si="1"/>
        <v>56</v>
      </c>
    </row>
    <row r="68" spans="1:9" ht="16.5" thickBot="1" x14ac:dyDescent="0.3">
      <c r="A68" s="36">
        <f t="shared" si="0"/>
        <v>57</v>
      </c>
      <c r="B68" s="24" t="s">
        <v>283</v>
      </c>
      <c r="E68" s="62">
        <f>SUM(E60:E67)</f>
        <v>17165135.096292403</v>
      </c>
      <c r="G68" s="36" t="str">
        <f>"Sum Lines "&amp;A60&amp;" thru "&amp;A67</f>
        <v>Sum Lines 49 thru 56</v>
      </c>
      <c r="H68" s="36">
        <f t="shared" si="1"/>
        <v>57</v>
      </c>
      <c r="I68" s="43"/>
    </row>
    <row r="69" spans="1:9" ht="16.5" thickTop="1" x14ac:dyDescent="0.25">
      <c r="A69" s="36">
        <f t="shared" si="0"/>
        <v>58</v>
      </c>
      <c r="E69" s="63"/>
      <c r="G69" s="36"/>
      <c r="H69" s="36">
        <f t="shared" si="1"/>
        <v>58</v>
      </c>
    </row>
    <row r="70" spans="1:9" ht="19.5" thickBot="1" x14ac:dyDescent="0.3">
      <c r="A70" s="36">
        <f t="shared" si="0"/>
        <v>59</v>
      </c>
      <c r="B70" s="24" t="s">
        <v>284</v>
      </c>
      <c r="E70" s="64">
        <f>E58/E68</f>
        <v>0.40130873797753724</v>
      </c>
      <c r="G70" s="36" t="str">
        <f>"Line "&amp;A58&amp;" / Line "&amp;A68</f>
        <v>Line 47 / Line 57</v>
      </c>
      <c r="H70" s="36">
        <f t="shared" si="1"/>
        <v>59</v>
      </c>
      <c r="I70" s="43"/>
    </row>
    <row r="71" spans="1:9" ht="16.5" thickTop="1" x14ac:dyDescent="0.25">
      <c r="B71" s="24"/>
      <c r="E71" s="790"/>
      <c r="G71" s="36"/>
      <c r="H71" s="36"/>
      <c r="I71" s="43"/>
    </row>
    <row r="72" spans="1:9" x14ac:dyDescent="0.25">
      <c r="B72" s="43" t="s">
        <v>228</v>
      </c>
      <c r="E72" s="65"/>
      <c r="G72" s="36"/>
      <c r="H72" s="36"/>
    </row>
    <row r="73" spans="1:9" x14ac:dyDescent="0.25">
      <c r="A73" s="25" t="s">
        <v>31</v>
      </c>
      <c r="B73" s="23" t="s">
        <v>592</v>
      </c>
      <c r="E73" s="65"/>
      <c r="F73" s="65"/>
      <c r="G73" s="36"/>
      <c r="H73" s="36"/>
    </row>
    <row r="74" spans="1:9" ht="18.75" x14ac:dyDescent="0.25">
      <c r="A74" s="67">
        <v>1</v>
      </c>
      <c r="B74" s="24" t="s">
        <v>285</v>
      </c>
      <c r="H74" s="36"/>
    </row>
    <row r="75" spans="1:9" x14ac:dyDescent="0.25">
      <c r="B75" s="23"/>
      <c r="E75" s="63"/>
      <c r="F75" s="63"/>
      <c r="G75" s="36"/>
      <c r="H75" s="36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FILED STMT AH WITH COST ADJ. INCL. IN APPENDIX X CYCLE 11 (ER23-109)</oddHeader>
    <oddFooter>&amp;L&amp;F&amp;CPage 8.1&amp;R&amp;A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S118"/>
  <sheetViews>
    <sheetView zoomScale="80" zoomScaleNormal="80" workbookViewId="0"/>
  </sheetViews>
  <sheetFormatPr defaultColWidth="9.140625" defaultRowHeight="15.75" x14ac:dyDescent="0.25"/>
  <cols>
    <col min="1" max="1" width="5.140625" style="533" customWidth="1"/>
    <col min="2" max="2" width="8.5703125" style="534" customWidth="1"/>
    <col min="3" max="3" width="68.85546875" style="534" customWidth="1"/>
    <col min="4" max="6" width="16.85546875" style="534" customWidth="1"/>
    <col min="7" max="7" width="2.140625" style="534" bestFit="1" customWidth="1"/>
    <col min="8" max="8" width="16.85546875" style="534" customWidth="1"/>
    <col min="9" max="9" width="3" style="534" bestFit="1" customWidth="1"/>
    <col min="10" max="10" width="16.85546875" style="534" customWidth="1"/>
    <col min="11" max="11" width="3.140625" style="534" customWidth="1"/>
    <col min="12" max="12" width="17.5703125" style="534" customWidth="1"/>
    <col min="13" max="13" width="3" style="744" bestFit="1" customWidth="1"/>
    <col min="14" max="14" width="20.140625" style="534" bestFit="1" customWidth="1"/>
    <col min="15" max="15" width="34.5703125" style="534" customWidth="1"/>
    <col min="16" max="16" width="5.140625" style="533" customWidth="1"/>
    <col min="17" max="17" width="4" style="534" customWidth="1"/>
    <col min="18" max="18" width="13.140625" style="534" bestFit="1" customWidth="1"/>
    <col min="19" max="19" width="9.140625" style="534"/>
    <col min="20" max="20" width="9.85546875" style="534" customWidth="1"/>
    <col min="21" max="21" width="10" style="534" customWidth="1"/>
    <col min="22" max="16384" width="9.140625" style="534"/>
  </cols>
  <sheetData>
    <row r="2" spans="1:19" x14ac:dyDescent="0.25">
      <c r="B2" s="813" t="s">
        <v>19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633"/>
    </row>
    <row r="3" spans="1:19" x14ac:dyDescent="0.25">
      <c r="B3" s="813" t="s">
        <v>286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633"/>
    </row>
    <row r="4" spans="1:19" x14ac:dyDescent="0.25">
      <c r="B4" s="813" t="s">
        <v>287</v>
      </c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633"/>
    </row>
    <row r="5" spans="1:19" x14ac:dyDescent="0.25">
      <c r="B5" s="814" t="s">
        <v>3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633"/>
    </row>
    <row r="6" spans="1:19" ht="16.5" thickBot="1" x14ac:dyDescent="0.3">
      <c r="D6" s="535"/>
      <c r="E6" s="535"/>
      <c r="F6" s="535"/>
      <c r="G6" s="535"/>
      <c r="H6" s="535"/>
      <c r="I6" s="535"/>
      <c r="J6" s="535"/>
      <c r="K6" s="535"/>
      <c r="L6" s="535"/>
      <c r="M6" s="737"/>
      <c r="N6" s="535"/>
      <c r="O6" s="535"/>
      <c r="R6" s="37"/>
    </row>
    <row r="7" spans="1:19" ht="18.75" x14ac:dyDescent="0.25">
      <c r="A7" s="633"/>
      <c r="B7" s="536"/>
      <c r="C7" s="537"/>
      <c r="D7" s="538" t="s">
        <v>288</v>
      </c>
      <c r="E7" s="539" t="s">
        <v>289</v>
      </c>
      <c r="F7" s="69" t="s">
        <v>290</v>
      </c>
      <c r="G7" s="70"/>
      <c r="H7" s="631" t="s">
        <v>291</v>
      </c>
      <c r="I7" s="71"/>
      <c r="J7" s="71" t="s">
        <v>292</v>
      </c>
      <c r="K7" s="631"/>
      <c r="L7" s="631" t="s">
        <v>584</v>
      </c>
      <c r="M7" s="738"/>
      <c r="N7" s="71" t="s">
        <v>585</v>
      </c>
      <c r="O7" s="540"/>
      <c r="P7" s="633"/>
    </row>
    <row r="8" spans="1:19" x14ac:dyDescent="0.25">
      <c r="A8" s="533" t="s">
        <v>4</v>
      </c>
      <c r="B8" s="541" t="s">
        <v>293</v>
      </c>
      <c r="C8" s="542"/>
      <c r="D8" s="543" t="s">
        <v>294</v>
      </c>
      <c r="E8" s="633" t="s">
        <v>295</v>
      </c>
      <c r="F8" s="543" t="s">
        <v>294</v>
      </c>
      <c r="G8" s="544"/>
      <c r="H8" s="369" t="s">
        <v>296</v>
      </c>
      <c r="I8" s="545"/>
      <c r="J8" s="72" t="s">
        <v>297</v>
      </c>
      <c r="K8" s="157"/>
      <c r="L8" s="157" t="s">
        <v>586</v>
      </c>
      <c r="M8" s="739"/>
      <c r="N8" s="72" t="s">
        <v>301</v>
      </c>
      <c r="O8" s="546"/>
      <c r="P8" s="533" t="s">
        <v>4</v>
      </c>
    </row>
    <row r="9" spans="1:19" ht="16.5" thickBot="1" x14ac:dyDescent="0.3">
      <c r="A9" s="533" t="s">
        <v>5</v>
      </c>
      <c r="B9" s="547" t="s">
        <v>298</v>
      </c>
      <c r="C9" s="548" t="s">
        <v>6</v>
      </c>
      <c r="D9" s="549" t="s">
        <v>299</v>
      </c>
      <c r="E9" s="548" t="s">
        <v>300</v>
      </c>
      <c r="F9" s="549" t="s">
        <v>301</v>
      </c>
      <c r="G9" s="550"/>
      <c r="H9" s="551" t="s">
        <v>302</v>
      </c>
      <c r="I9" s="552"/>
      <c r="J9" s="553" t="s">
        <v>303</v>
      </c>
      <c r="K9" s="679"/>
      <c r="L9" s="551" t="s">
        <v>600</v>
      </c>
      <c r="M9" s="740"/>
      <c r="N9" s="553" t="s">
        <v>601</v>
      </c>
      <c r="O9" s="554" t="s">
        <v>8</v>
      </c>
      <c r="P9" s="533" t="s">
        <v>5</v>
      </c>
      <c r="Q9" s="533"/>
    </row>
    <row r="10" spans="1:19" x14ac:dyDescent="0.25">
      <c r="B10" s="555"/>
      <c r="C10" s="556" t="s">
        <v>304</v>
      </c>
      <c r="D10" s="557"/>
      <c r="E10" s="645"/>
      <c r="F10" s="558"/>
      <c r="G10" s="559"/>
      <c r="H10" s="559"/>
      <c r="I10" s="560"/>
      <c r="J10" s="646"/>
      <c r="K10" s="559"/>
      <c r="L10" s="559"/>
      <c r="M10" s="741"/>
      <c r="N10" s="646"/>
      <c r="O10" s="561"/>
    </row>
    <row r="11" spans="1:19" ht="19.5" x14ac:dyDescent="0.25">
      <c r="A11" s="533">
        <v>1</v>
      </c>
      <c r="B11" s="541">
        <v>920</v>
      </c>
      <c r="C11" s="562" t="s">
        <v>305</v>
      </c>
      <c r="D11" s="74">
        <v>46411.108999999997</v>
      </c>
      <c r="E11" s="74">
        <f>E39</f>
        <v>968.08356942399996</v>
      </c>
      <c r="F11" s="74">
        <f>D11-E11</f>
        <v>45443.025430575995</v>
      </c>
      <c r="G11" s="25"/>
      <c r="H11" s="34"/>
      <c r="I11" s="563"/>
      <c r="J11" s="74">
        <f>F11+H11</f>
        <v>45443.025430575995</v>
      </c>
      <c r="K11" s="25" t="s">
        <v>31</v>
      </c>
      <c r="L11" s="78">
        <f>L40</f>
        <v>930.25238000000002</v>
      </c>
      <c r="M11" s="794">
        <v>9</v>
      </c>
      <c r="N11" s="79">
        <f t="shared" ref="N11:N18" si="0">J11+L11</f>
        <v>46373.277810575993</v>
      </c>
      <c r="O11" s="73" t="s">
        <v>306</v>
      </c>
      <c r="P11" s="533">
        <f>A11</f>
        <v>1</v>
      </c>
      <c r="Q11" s="534" t="s">
        <v>228</v>
      </c>
      <c r="R11" s="565"/>
    </row>
    <row r="12" spans="1:19" ht="19.5" x14ac:dyDescent="0.25">
      <c r="A12" s="533">
        <f t="shared" ref="A12:A88" si="1">A11+1</f>
        <v>2</v>
      </c>
      <c r="B12" s="541">
        <v>921</v>
      </c>
      <c r="C12" s="562" t="s">
        <v>307</v>
      </c>
      <c r="D12" s="75">
        <v>28861</v>
      </c>
      <c r="E12" s="75">
        <f>E43</f>
        <v>9375.0137418520007</v>
      </c>
      <c r="F12" s="75">
        <f>D12-E12</f>
        <v>19485.986258147997</v>
      </c>
      <c r="G12" s="25"/>
      <c r="H12" s="76"/>
      <c r="I12" s="563"/>
      <c r="J12" s="75">
        <f>F12+H12</f>
        <v>19485.986258147997</v>
      </c>
      <c r="K12" s="25" t="s">
        <v>31</v>
      </c>
      <c r="L12" s="680">
        <v>1717.9580000000001</v>
      </c>
      <c r="M12" s="794">
        <v>7</v>
      </c>
      <c r="N12" s="662">
        <f>J12+L12+L13</f>
        <v>30579.054108147997</v>
      </c>
      <c r="O12" s="73" t="s">
        <v>308</v>
      </c>
      <c r="P12" s="533">
        <f t="shared" ref="P12:P88" si="2">P11+1</f>
        <v>2</v>
      </c>
      <c r="R12" s="565"/>
      <c r="S12" s="566"/>
    </row>
    <row r="13" spans="1:19" ht="19.5" x14ac:dyDescent="0.25">
      <c r="A13" s="533">
        <f t="shared" si="1"/>
        <v>3</v>
      </c>
      <c r="B13" s="541">
        <v>921</v>
      </c>
      <c r="C13" s="562" t="s">
        <v>307</v>
      </c>
      <c r="D13" s="75"/>
      <c r="E13" s="75"/>
      <c r="F13" s="75"/>
      <c r="G13" s="25"/>
      <c r="H13" s="76"/>
      <c r="I13" s="563"/>
      <c r="J13" s="75"/>
      <c r="K13" s="25" t="s">
        <v>31</v>
      </c>
      <c r="L13" s="680">
        <f>L45</f>
        <v>9375.1098499999989</v>
      </c>
      <c r="M13" s="794">
        <v>9</v>
      </c>
      <c r="N13" s="662"/>
      <c r="O13" s="73" t="s">
        <v>308</v>
      </c>
      <c r="P13" s="533">
        <f t="shared" si="2"/>
        <v>3</v>
      </c>
      <c r="R13" s="565"/>
      <c r="S13" s="566"/>
    </row>
    <row r="14" spans="1:19" ht="18.75" x14ac:dyDescent="0.25">
      <c r="A14" s="533">
        <f t="shared" si="1"/>
        <v>4</v>
      </c>
      <c r="B14" s="541">
        <v>922</v>
      </c>
      <c r="C14" s="562" t="s">
        <v>309</v>
      </c>
      <c r="D14" s="75">
        <v>-18872.382000000001</v>
      </c>
      <c r="E14" s="75">
        <f>E46</f>
        <v>-125.07091</v>
      </c>
      <c r="F14" s="75">
        <f t="shared" ref="F14:F26" si="3">D14-E14</f>
        <v>-18747.311090000003</v>
      </c>
      <c r="G14" s="76"/>
      <c r="H14" s="76"/>
      <c r="I14" s="77"/>
      <c r="J14" s="75">
        <f t="shared" ref="J14:J17" si="4">F14+H14</f>
        <v>-18747.311090000003</v>
      </c>
      <c r="K14" s="76"/>
      <c r="L14" s="680">
        <f>L47</f>
        <v>-125.12939</v>
      </c>
      <c r="M14" s="794">
        <v>9</v>
      </c>
      <c r="N14" s="662">
        <f t="shared" si="0"/>
        <v>-18872.440480000001</v>
      </c>
      <c r="O14" s="73" t="s">
        <v>310</v>
      </c>
      <c r="P14" s="533">
        <f t="shared" si="2"/>
        <v>4</v>
      </c>
      <c r="R14" s="565"/>
    </row>
    <row r="15" spans="1:19" ht="19.5" x14ac:dyDescent="0.25">
      <c r="A15" s="533">
        <f t="shared" si="1"/>
        <v>5</v>
      </c>
      <c r="B15" s="541">
        <v>923</v>
      </c>
      <c r="C15" s="562" t="s">
        <v>311</v>
      </c>
      <c r="D15" s="75">
        <v>108535.25900000001</v>
      </c>
      <c r="E15" s="75">
        <f>E53</f>
        <v>12845.547155421998</v>
      </c>
      <c r="F15" s="75">
        <f t="shared" si="3"/>
        <v>95689.711844578007</v>
      </c>
      <c r="G15" s="25"/>
      <c r="H15" s="76"/>
      <c r="I15" s="563"/>
      <c r="J15" s="75">
        <f t="shared" si="4"/>
        <v>95689.711844578007</v>
      </c>
      <c r="K15" s="25" t="s">
        <v>31</v>
      </c>
      <c r="L15" s="680">
        <v>83.521000000000001</v>
      </c>
      <c r="M15" s="794">
        <v>7</v>
      </c>
      <c r="N15" s="662">
        <f>J15+L15+L16</f>
        <v>97939.248374578005</v>
      </c>
      <c r="O15" s="73" t="s">
        <v>312</v>
      </c>
      <c r="P15" s="533">
        <f t="shared" si="2"/>
        <v>5</v>
      </c>
      <c r="R15" s="565"/>
    </row>
    <row r="16" spans="1:19" ht="19.5" x14ac:dyDescent="0.25">
      <c r="A16" s="533">
        <f t="shared" si="1"/>
        <v>6</v>
      </c>
      <c r="B16" s="541">
        <v>923</v>
      </c>
      <c r="C16" s="562" t="s">
        <v>311</v>
      </c>
      <c r="D16" s="75"/>
      <c r="E16" s="75"/>
      <c r="F16" s="75"/>
      <c r="G16" s="25"/>
      <c r="H16" s="76"/>
      <c r="I16" s="563"/>
      <c r="J16" s="75"/>
      <c r="K16" s="25" t="s">
        <v>31</v>
      </c>
      <c r="L16" s="680">
        <f>L55</f>
        <v>2166.0155300000001</v>
      </c>
      <c r="M16" s="794">
        <v>9</v>
      </c>
      <c r="N16" s="662"/>
      <c r="O16" s="73" t="s">
        <v>312</v>
      </c>
      <c r="P16" s="533">
        <f t="shared" si="2"/>
        <v>6</v>
      </c>
      <c r="R16" s="565"/>
    </row>
    <row r="17" spans="1:18" x14ac:dyDescent="0.25">
      <c r="A17" s="533">
        <f t="shared" si="1"/>
        <v>7</v>
      </c>
      <c r="B17" s="555">
        <v>924</v>
      </c>
      <c r="C17" s="562" t="s">
        <v>313</v>
      </c>
      <c r="D17" s="75">
        <v>8310.402</v>
      </c>
      <c r="E17" s="75"/>
      <c r="F17" s="75">
        <f t="shared" si="3"/>
        <v>8310.402</v>
      </c>
      <c r="G17" s="76"/>
      <c r="H17" s="76"/>
      <c r="I17" s="77"/>
      <c r="J17" s="75">
        <f t="shared" si="4"/>
        <v>8310.402</v>
      </c>
      <c r="K17" s="76"/>
      <c r="L17" s="680"/>
      <c r="M17" s="742"/>
      <c r="N17" s="75">
        <f t="shared" si="0"/>
        <v>8310.402</v>
      </c>
      <c r="O17" s="73" t="s">
        <v>314</v>
      </c>
      <c r="P17" s="533">
        <f t="shared" si="2"/>
        <v>7</v>
      </c>
      <c r="R17" s="565"/>
    </row>
    <row r="18" spans="1:18" ht="19.5" x14ac:dyDescent="0.25">
      <c r="A18" s="533">
        <f t="shared" si="1"/>
        <v>8</v>
      </c>
      <c r="B18" s="541">
        <v>925</v>
      </c>
      <c r="C18" s="562" t="s">
        <v>315</v>
      </c>
      <c r="D18" s="75">
        <v>181130.33900000001</v>
      </c>
      <c r="E18" s="75">
        <f>E58</f>
        <v>1105.1051231060101</v>
      </c>
      <c r="F18" s="75">
        <f t="shared" si="3"/>
        <v>180025.233876894</v>
      </c>
      <c r="G18" s="685"/>
      <c r="H18" s="76">
        <v>-130.33199999999999</v>
      </c>
      <c r="I18" s="563">
        <v>5</v>
      </c>
      <c r="J18" s="75">
        <f>F18+H18</f>
        <v>179894.901876894</v>
      </c>
      <c r="K18" s="25" t="s">
        <v>31</v>
      </c>
      <c r="L18" s="680">
        <f>L59</f>
        <v>746.95546999999988</v>
      </c>
      <c r="M18" s="794">
        <v>9</v>
      </c>
      <c r="N18" s="662">
        <f t="shared" si="0"/>
        <v>180641.85734689399</v>
      </c>
      <c r="O18" s="73" t="s">
        <v>316</v>
      </c>
      <c r="P18" s="533">
        <f t="shared" si="2"/>
        <v>8</v>
      </c>
      <c r="R18" s="565"/>
    </row>
    <row r="19" spans="1:18" ht="19.5" x14ac:dyDescent="0.25">
      <c r="A19" s="533">
        <f t="shared" si="1"/>
        <v>9</v>
      </c>
      <c r="B19" s="541">
        <v>926</v>
      </c>
      <c r="C19" s="562" t="s">
        <v>317</v>
      </c>
      <c r="D19" s="75">
        <v>62304.38</v>
      </c>
      <c r="E19" s="75">
        <f>E62</f>
        <v>2589.589301958019</v>
      </c>
      <c r="F19" s="75">
        <f t="shared" si="3"/>
        <v>59714.790698041979</v>
      </c>
      <c r="G19" s="25"/>
      <c r="H19" s="76"/>
      <c r="I19" s="563"/>
      <c r="J19" s="75">
        <f t="shared" ref="J19:J26" si="5">F19+H19</f>
        <v>59714.790698041979</v>
      </c>
      <c r="K19" s="25" t="s">
        <v>31</v>
      </c>
      <c r="L19" s="680">
        <f>L63</f>
        <v>1752.65128</v>
      </c>
      <c r="M19" s="794">
        <v>9</v>
      </c>
      <c r="N19" s="662">
        <f>J19+L19</f>
        <v>61467.441978041978</v>
      </c>
      <c r="O19" s="73" t="s">
        <v>318</v>
      </c>
      <c r="P19" s="533">
        <f t="shared" si="2"/>
        <v>9</v>
      </c>
      <c r="R19" s="116"/>
    </row>
    <row r="20" spans="1:18" x14ac:dyDescent="0.25">
      <c r="A20" s="533">
        <f t="shared" si="1"/>
        <v>10</v>
      </c>
      <c r="B20" s="555">
        <v>927</v>
      </c>
      <c r="C20" s="562" t="s">
        <v>319</v>
      </c>
      <c r="D20" s="75">
        <v>130506.765</v>
      </c>
      <c r="E20" s="75">
        <f>E64</f>
        <v>130506.76528000001</v>
      </c>
      <c r="F20" s="75">
        <f t="shared" si="3"/>
        <v>-2.8000000747852027E-4</v>
      </c>
      <c r="G20" s="76"/>
      <c r="H20" s="76"/>
      <c r="I20" s="77"/>
      <c r="J20" s="75">
        <f t="shared" si="5"/>
        <v>-2.8000000747852027E-4</v>
      </c>
      <c r="K20" s="76"/>
      <c r="L20" s="76"/>
      <c r="M20" s="742"/>
      <c r="N20" s="75">
        <f>J20+L20</f>
        <v>-2.8000000747852027E-4</v>
      </c>
      <c r="O20" s="73" t="s">
        <v>320</v>
      </c>
      <c r="P20" s="533">
        <f t="shared" si="2"/>
        <v>10</v>
      </c>
      <c r="R20" s="567"/>
    </row>
    <row r="21" spans="1:18" x14ac:dyDescent="0.25">
      <c r="A21" s="533">
        <f t="shared" si="1"/>
        <v>11</v>
      </c>
      <c r="B21" s="555">
        <v>928</v>
      </c>
      <c r="C21" s="562" t="s">
        <v>321</v>
      </c>
      <c r="D21" s="75">
        <v>27995.793000000001</v>
      </c>
      <c r="E21" s="75">
        <f>E70</f>
        <v>16572.369439999999</v>
      </c>
      <c r="F21" s="75">
        <f t="shared" si="3"/>
        <v>11423.423560000003</v>
      </c>
      <c r="G21" s="76"/>
      <c r="H21" s="76"/>
      <c r="I21" s="77"/>
      <c r="J21" s="75">
        <f t="shared" si="5"/>
        <v>11423.423560000003</v>
      </c>
      <c r="K21" s="76"/>
      <c r="L21" s="76"/>
      <c r="M21" s="742"/>
      <c r="N21" s="75">
        <f>J21+L21</f>
        <v>11423.423560000003</v>
      </c>
      <c r="O21" s="73" t="s">
        <v>322</v>
      </c>
      <c r="P21" s="533">
        <f t="shared" si="2"/>
        <v>11</v>
      </c>
      <c r="R21" s="567"/>
    </row>
    <row r="22" spans="1:18" x14ac:dyDescent="0.25">
      <c r="A22" s="533">
        <f t="shared" si="1"/>
        <v>12</v>
      </c>
      <c r="B22" s="555">
        <v>929</v>
      </c>
      <c r="C22" s="562" t="s">
        <v>323</v>
      </c>
      <c r="D22" s="75">
        <v>-2772.7849999999999</v>
      </c>
      <c r="E22" s="75"/>
      <c r="F22" s="75">
        <f t="shared" si="3"/>
        <v>-2772.7849999999999</v>
      </c>
      <c r="G22" s="76"/>
      <c r="H22" s="76"/>
      <c r="I22" s="77"/>
      <c r="J22" s="75">
        <f t="shared" si="5"/>
        <v>-2772.7849999999999</v>
      </c>
      <c r="K22" s="76"/>
      <c r="L22" s="76"/>
      <c r="M22" s="742"/>
      <c r="N22" s="75">
        <f>J22+L22</f>
        <v>-2772.7849999999999</v>
      </c>
      <c r="O22" s="73" t="s">
        <v>324</v>
      </c>
      <c r="P22" s="533">
        <f t="shared" si="2"/>
        <v>12</v>
      </c>
      <c r="R22" s="565"/>
    </row>
    <row r="23" spans="1:18" ht="19.5" x14ac:dyDescent="0.25">
      <c r="A23" s="533">
        <f t="shared" si="1"/>
        <v>13</v>
      </c>
      <c r="B23" s="569">
        <v>930.1</v>
      </c>
      <c r="C23" s="562" t="s">
        <v>325</v>
      </c>
      <c r="D23" s="75">
        <v>-204.155</v>
      </c>
      <c r="E23" s="75">
        <f>E71</f>
        <v>-204.155</v>
      </c>
      <c r="F23" s="75">
        <f t="shared" si="3"/>
        <v>0</v>
      </c>
      <c r="G23" s="76"/>
      <c r="H23" s="76"/>
      <c r="I23" s="563"/>
      <c r="J23" s="75">
        <f t="shared" si="5"/>
        <v>0</v>
      </c>
      <c r="K23" s="76"/>
      <c r="L23" s="76"/>
      <c r="M23" s="742"/>
      <c r="N23" s="75">
        <f>J23+L23</f>
        <v>0</v>
      </c>
      <c r="O23" s="73" t="s">
        <v>326</v>
      </c>
      <c r="P23" s="533">
        <f t="shared" si="2"/>
        <v>13</v>
      </c>
      <c r="R23" s="565"/>
    </row>
    <row r="24" spans="1:18" ht="19.5" x14ac:dyDescent="0.25">
      <c r="A24" s="533">
        <f t="shared" si="1"/>
        <v>14</v>
      </c>
      <c r="B24" s="681">
        <v>930.2</v>
      </c>
      <c r="C24" s="562" t="s">
        <v>327</v>
      </c>
      <c r="D24" s="75">
        <v>2511.0549999999998</v>
      </c>
      <c r="E24" s="75">
        <f>E75</f>
        <v>217.58000000000015</v>
      </c>
      <c r="F24" s="75">
        <f t="shared" si="3"/>
        <v>2293.4749999999995</v>
      </c>
      <c r="G24" s="685"/>
      <c r="H24" s="76">
        <v>40</v>
      </c>
      <c r="I24" s="563">
        <v>6</v>
      </c>
      <c r="J24" s="75">
        <f t="shared" si="5"/>
        <v>2333.4749999999995</v>
      </c>
      <c r="K24" s="25" t="s">
        <v>31</v>
      </c>
      <c r="L24" s="680">
        <v>595.57100000000003</v>
      </c>
      <c r="M24" s="795">
        <v>7</v>
      </c>
      <c r="N24" s="662">
        <f>J24+L24+L25</f>
        <v>2238.2789999999995</v>
      </c>
      <c r="O24" s="73" t="s">
        <v>328</v>
      </c>
      <c r="P24" s="533">
        <f t="shared" si="2"/>
        <v>14</v>
      </c>
      <c r="R24" s="570"/>
    </row>
    <row r="25" spans="1:18" ht="19.5" x14ac:dyDescent="0.25">
      <c r="A25" s="533">
        <f t="shared" si="1"/>
        <v>15</v>
      </c>
      <c r="B25" s="681">
        <v>930.2</v>
      </c>
      <c r="C25" s="562" t="s">
        <v>327</v>
      </c>
      <c r="D25" s="75"/>
      <c r="E25" s="75"/>
      <c r="F25" s="75"/>
      <c r="G25" s="25"/>
      <c r="H25" s="76"/>
      <c r="I25" s="563"/>
      <c r="J25" s="662"/>
      <c r="K25" s="25" t="s">
        <v>31</v>
      </c>
      <c r="L25" s="542">
        <v>-690.76700000000005</v>
      </c>
      <c r="M25" s="795">
        <v>8</v>
      </c>
      <c r="N25" s="662"/>
      <c r="O25" s="73" t="s">
        <v>328</v>
      </c>
      <c r="P25" s="533">
        <f t="shared" si="2"/>
        <v>15</v>
      </c>
      <c r="R25" s="570"/>
    </row>
    <row r="26" spans="1:18" x14ac:dyDescent="0.25">
      <c r="A26" s="533">
        <f t="shared" si="1"/>
        <v>16</v>
      </c>
      <c r="B26" s="555">
        <v>931</v>
      </c>
      <c r="C26" s="562" t="s">
        <v>329</v>
      </c>
      <c r="D26" s="75">
        <v>10939.305</v>
      </c>
      <c r="E26" s="75"/>
      <c r="F26" s="75">
        <f t="shared" si="3"/>
        <v>10939.305</v>
      </c>
      <c r="G26" s="76"/>
      <c r="H26" s="76"/>
      <c r="I26" s="77"/>
      <c r="J26" s="75">
        <f t="shared" si="5"/>
        <v>10939.305</v>
      </c>
      <c r="K26" s="76"/>
      <c r="L26" s="680"/>
      <c r="M26" s="742"/>
      <c r="N26" s="75">
        <f>J26+L26</f>
        <v>10939.305</v>
      </c>
      <c r="O26" s="73" t="s">
        <v>330</v>
      </c>
      <c r="P26" s="533">
        <f t="shared" si="2"/>
        <v>16</v>
      </c>
      <c r="R26" s="565"/>
    </row>
    <row r="27" spans="1:18" x14ac:dyDescent="0.25">
      <c r="A27" s="533">
        <f t="shared" si="1"/>
        <v>17</v>
      </c>
      <c r="B27" s="555">
        <v>935</v>
      </c>
      <c r="C27" s="562" t="s">
        <v>331</v>
      </c>
      <c r="D27" s="474">
        <v>9293.2980000000007</v>
      </c>
      <c r="E27" s="474">
        <f>E77</f>
        <v>-1915.2449610859999</v>
      </c>
      <c r="F27" s="474">
        <f>D27-E27</f>
        <v>11208.542961086001</v>
      </c>
      <c r="G27" s="475"/>
      <c r="H27" s="301"/>
      <c r="I27" s="323"/>
      <c r="J27" s="474">
        <f>F27+H27</f>
        <v>11208.542961086001</v>
      </c>
      <c r="K27" s="682"/>
      <c r="L27" s="683"/>
      <c r="M27" s="743"/>
      <c r="N27" s="474">
        <f>J27+L27</f>
        <v>11208.542961086001</v>
      </c>
      <c r="O27" s="73" t="s">
        <v>332</v>
      </c>
      <c r="P27" s="533">
        <f t="shared" si="2"/>
        <v>17</v>
      </c>
      <c r="Q27" s="534" t="s">
        <v>228</v>
      </c>
      <c r="R27" s="565"/>
    </row>
    <row r="28" spans="1:18" x14ac:dyDescent="0.25">
      <c r="A28" s="533">
        <f t="shared" si="1"/>
        <v>18</v>
      </c>
      <c r="B28" s="555"/>
      <c r="D28" s="571"/>
      <c r="E28" s="571"/>
      <c r="F28" s="571"/>
      <c r="I28" s="568"/>
      <c r="J28" s="571"/>
      <c r="L28" s="542"/>
      <c r="N28" s="571"/>
      <c r="O28" s="572"/>
      <c r="P28" s="533">
        <f t="shared" si="2"/>
        <v>18</v>
      </c>
    </row>
    <row r="29" spans="1:18" ht="16.5" thickBot="1" x14ac:dyDescent="0.3">
      <c r="A29" s="533">
        <f t="shared" si="1"/>
        <v>19</v>
      </c>
      <c r="B29" s="555"/>
      <c r="C29" s="542" t="s">
        <v>333</v>
      </c>
      <c r="D29" s="573">
        <f>SUM(D11:D27)</f>
        <v>594949.38299999991</v>
      </c>
      <c r="E29" s="80">
        <f>SUM(E11:E27)</f>
        <v>171935.58274067604</v>
      </c>
      <c r="F29" s="80">
        <f>SUM(F11:F27)</f>
        <v>423013.80025932402</v>
      </c>
      <c r="G29" s="771"/>
      <c r="H29" s="574">
        <f>SUM(H11:H27)</f>
        <v>-90.331999999999994</v>
      </c>
      <c r="I29" s="82"/>
      <c r="J29" s="80">
        <f>SUM(J11:J27)</f>
        <v>422923.46825932397</v>
      </c>
      <c r="K29" s="81" t="s">
        <v>31</v>
      </c>
      <c r="L29" s="574">
        <f>SUM(L11:L27)</f>
        <v>16552.13812</v>
      </c>
      <c r="M29" s="745"/>
      <c r="N29" s="80">
        <f>SUM(N11:N27)</f>
        <v>439475.60637932399</v>
      </c>
      <c r="O29" s="85" t="str">
        <f>"Sum Lines "&amp;A11&amp;" thru "&amp;A27</f>
        <v>Sum Lines 1 thru 17</v>
      </c>
      <c r="P29" s="533">
        <f t="shared" si="2"/>
        <v>19</v>
      </c>
    </row>
    <row r="30" spans="1:18" ht="16.5" thickTop="1" x14ac:dyDescent="0.25">
      <c r="A30" s="533">
        <f t="shared" si="1"/>
        <v>20</v>
      </c>
      <c r="B30" s="555"/>
      <c r="C30" s="542"/>
      <c r="D30" s="575"/>
      <c r="E30" s="564"/>
      <c r="F30" s="79"/>
      <c r="G30" s="78"/>
      <c r="H30" s="78"/>
      <c r="I30" s="564"/>
      <c r="J30" s="79"/>
      <c r="K30" s="78"/>
      <c r="L30" s="78"/>
      <c r="M30" s="746"/>
      <c r="N30" s="79"/>
      <c r="O30" s="85"/>
      <c r="P30" s="533">
        <f t="shared" si="2"/>
        <v>20</v>
      </c>
    </row>
    <row r="31" spans="1:18" ht="18.75" x14ac:dyDescent="0.25">
      <c r="A31" s="533">
        <f t="shared" si="1"/>
        <v>21</v>
      </c>
      <c r="B31" s="555">
        <v>413</v>
      </c>
      <c r="C31" s="534" t="s">
        <v>334</v>
      </c>
      <c r="D31" s="474">
        <v>534.27995999999996</v>
      </c>
      <c r="E31" s="323">
        <v>0</v>
      </c>
      <c r="F31" s="474">
        <f>D31-E31</f>
        <v>534.27995999999996</v>
      </c>
      <c r="G31" s="475"/>
      <c r="H31" s="301"/>
      <c r="I31" s="323"/>
      <c r="J31" s="474">
        <f>F31+H31</f>
        <v>534.27995999999996</v>
      </c>
      <c r="K31" s="682"/>
      <c r="L31" s="683"/>
      <c r="M31" s="743"/>
      <c r="N31" s="474">
        <f>J31+L31</f>
        <v>534.27995999999996</v>
      </c>
      <c r="O31" s="85"/>
      <c r="P31" s="533">
        <f t="shared" si="2"/>
        <v>21</v>
      </c>
    </row>
    <row r="32" spans="1:18" x14ac:dyDescent="0.25">
      <c r="A32" s="533">
        <f t="shared" si="1"/>
        <v>22</v>
      </c>
      <c r="B32" s="555"/>
      <c r="C32" s="542"/>
      <c r="D32" s="575"/>
      <c r="E32" s="564"/>
      <c r="F32" s="79"/>
      <c r="G32" s="78"/>
      <c r="H32" s="78"/>
      <c r="I32" s="564"/>
      <c r="J32" s="79"/>
      <c r="K32" s="78"/>
      <c r="L32" s="78"/>
      <c r="M32" s="746"/>
      <c r="N32" s="79"/>
      <c r="O32" s="85"/>
      <c r="P32" s="533">
        <f t="shared" si="2"/>
        <v>22</v>
      </c>
    </row>
    <row r="33" spans="1:18" ht="16.5" thickBot="1" x14ac:dyDescent="0.3">
      <c r="A33" s="533">
        <f t="shared" si="1"/>
        <v>23</v>
      </c>
      <c r="B33" s="555"/>
      <c r="C33" s="542" t="s">
        <v>335</v>
      </c>
      <c r="D33" s="573">
        <f>D29+D31</f>
        <v>595483.66295999987</v>
      </c>
      <c r="E33" s="564">
        <f>E29+E31</f>
        <v>171935.58274067604</v>
      </c>
      <c r="F33" s="79">
        <f>F29+F31</f>
        <v>423548.08021932404</v>
      </c>
      <c r="G33" s="771"/>
      <c r="H33" s="574">
        <f>H29+H31</f>
        <v>-90.331999999999994</v>
      </c>
      <c r="I33" s="82"/>
      <c r="J33" s="80">
        <f>J29+J31</f>
        <v>423457.74821932398</v>
      </c>
      <c r="K33" s="81" t="s">
        <v>31</v>
      </c>
      <c r="L33" s="574">
        <f>L29+L31</f>
        <v>16552.13812</v>
      </c>
      <c r="M33" s="745"/>
      <c r="N33" s="80">
        <f>N29+N31</f>
        <v>440009.886339324</v>
      </c>
      <c r="O33" s="85" t="str">
        <f>"Line "&amp;A29&amp;" + Line "&amp;A31</f>
        <v>Line 19 + Line 21</v>
      </c>
      <c r="P33" s="533">
        <f t="shared" si="2"/>
        <v>23</v>
      </c>
    </row>
    <row r="34" spans="1:18" ht="17.25" thickTop="1" thickBot="1" x14ac:dyDescent="0.3">
      <c r="A34" s="533">
        <f t="shared" si="1"/>
        <v>24</v>
      </c>
      <c r="B34" s="576"/>
      <c r="C34" s="535"/>
      <c r="D34" s="577"/>
      <c r="E34" s="578"/>
      <c r="F34" s="578"/>
      <c r="G34" s="551"/>
      <c r="H34" s="551"/>
      <c r="I34" s="552"/>
      <c r="J34" s="647"/>
      <c r="K34" s="551"/>
      <c r="L34" s="551"/>
      <c r="M34" s="747"/>
      <c r="N34" s="647"/>
      <c r="O34" s="579"/>
      <c r="P34" s="533">
        <f t="shared" si="2"/>
        <v>24</v>
      </c>
    </row>
    <row r="35" spans="1:18" x14ac:dyDescent="0.25">
      <c r="A35" s="533">
        <f t="shared" si="1"/>
        <v>25</v>
      </c>
      <c r="B35" s="580"/>
      <c r="D35" s="581"/>
      <c r="E35" s="582"/>
      <c r="F35" s="581"/>
      <c r="G35" s="581"/>
      <c r="H35" s="581"/>
      <c r="I35" s="581"/>
      <c r="J35" s="581"/>
      <c r="K35" s="581"/>
      <c r="L35" s="581"/>
      <c r="M35" s="748"/>
      <c r="N35" s="581"/>
      <c r="O35" s="572"/>
      <c r="P35" s="533">
        <f t="shared" si="2"/>
        <v>25</v>
      </c>
    </row>
    <row r="36" spans="1:18" x14ac:dyDescent="0.25">
      <c r="A36" s="533">
        <f t="shared" si="1"/>
        <v>26</v>
      </c>
      <c r="B36" s="583" t="s">
        <v>336</v>
      </c>
      <c r="C36" s="533"/>
      <c r="D36" s="533"/>
      <c r="E36" s="533"/>
      <c r="F36" s="533"/>
      <c r="G36" s="533"/>
      <c r="H36" s="533"/>
      <c r="I36" s="533"/>
      <c r="J36" s="533"/>
      <c r="K36" s="533"/>
      <c r="L36" s="533"/>
      <c r="N36" s="533"/>
      <c r="O36" s="572"/>
      <c r="P36" s="533">
        <f t="shared" si="2"/>
        <v>26</v>
      </c>
    </row>
    <row r="37" spans="1:18" x14ac:dyDescent="0.25">
      <c r="A37" s="533">
        <f t="shared" si="1"/>
        <v>27</v>
      </c>
      <c r="B37" s="584">
        <v>920</v>
      </c>
      <c r="C37" s="19" t="s">
        <v>337</v>
      </c>
      <c r="D37" s="30">
        <v>37.830849999999998</v>
      </c>
      <c r="F37" s="533"/>
      <c r="G37" s="533"/>
      <c r="H37" s="533"/>
      <c r="I37" s="533"/>
      <c r="J37" s="533"/>
      <c r="K37" s="533"/>
      <c r="L37" s="533"/>
      <c r="N37" s="533"/>
      <c r="O37" s="572"/>
      <c r="P37" s="533">
        <f t="shared" si="2"/>
        <v>27</v>
      </c>
    </row>
    <row r="38" spans="1:18" x14ac:dyDescent="0.25">
      <c r="A38" s="533">
        <f t="shared" si="1"/>
        <v>28</v>
      </c>
      <c r="B38" s="584"/>
      <c r="C38" s="19" t="s">
        <v>338</v>
      </c>
      <c r="D38" s="648">
        <v>873.61009352399992</v>
      </c>
      <c r="E38" s="30"/>
      <c r="F38" s="533"/>
      <c r="G38" s="533"/>
      <c r="H38" s="533"/>
      <c r="I38" s="533"/>
      <c r="J38" s="533"/>
      <c r="K38" s="533"/>
      <c r="L38" s="533"/>
      <c r="N38" s="533"/>
      <c r="O38" s="572"/>
      <c r="P38" s="533">
        <f t="shared" si="2"/>
        <v>28</v>
      </c>
    </row>
    <row r="39" spans="1:18" x14ac:dyDescent="0.25">
      <c r="A39" s="533">
        <f t="shared" si="1"/>
        <v>29</v>
      </c>
      <c r="B39" s="584"/>
      <c r="C39" s="19" t="s">
        <v>339</v>
      </c>
      <c r="D39" s="649">
        <v>56.642625899999999</v>
      </c>
      <c r="E39" s="30">
        <f>SUM(D37:D39)</f>
        <v>968.08356942399996</v>
      </c>
      <c r="O39" s="572"/>
      <c r="P39" s="533">
        <f t="shared" si="2"/>
        <v>29</v>
      </c>
      <c r="R39" s="562"/>
    </row>
    <row r="40" spans="1:18" ht="18.75" x14ac:dyDescent="0.25">
      <c r="A40" s="533">
        <f t="shared" si="1"/>
        <v>30</v>
      </c>
      <c r="B40" s="584"/>
      <c r="C40" s="768" t="s">
        <v>603</v>
      </c>
      <c r="D40" s="648"/>
      <c r="E40" s="30"/>
      <c r="L40" s="587">
        <f>1015.03238-84.78</f>
        <v>930.25238000000002</v>
      </c>
      <c r="M40" s="769">
        <v>9</v>
      </c>
      <c r="O40" s="572"/>
      <c r="P40" s="533">
        <f t="shared" si="2"/>
        <v>30</v>
      </c>
      <c r="R40" s="562"/>
    </row>
    <row r="41" spans="1:18" x14ac:dyDescent="0.25">
      <c r="A41" s="533">
        <f t="shared" si="1"/>
        <v>31</v>
      </c>
      <c r="B41" s="584">
        <v>921</v>
      </c>
      <c r="C41" s="19" t="s">
        <v>337</v>
      </c>
      <c r="D41" s="534">
        <v>-9.620999999999999E-2</v>
      </c>
      <c r="H41" s="659"/>
      <c r="O41" s="572"/>
      <c r="P41" s="533">
        <f t="shared" si="2"/>
        <v>31</v>
      </c>
      <c r="R41" s="562"/>
    </row>
    <row r="42" spans="1:18" x14ac:dyDescent="0.25">
      <c r="A42" s="533">
        <f t="shared" si="1"/>
        <v>32</v>
      </c>
      <c r="B42" s="584"/>
      <c r="C42" s="19" t="s">
        <v>338</v>
      </c>
      <c r="D42" s="648">
        <v>8254.9592088600002</v>
      </c>
      <c r="O42" s="572"/>
      <c r="P42" s="533">
        <f t="shared" si="2"/>
        <v>32</v>
      </c>
    </row>
    <row r="43" spans="1:18" x14ac:dyDescent="0.25">
      <c r="A43" s="533">
        <f t="shared" si="1"/>
        <v>33</v>
      </c>
      <c r="B43" s="584"/>
      <c r="C43" s="19" t="s">
        <v>339</v>
      </c>
      <c r="D43" s="649">
        <v>1120.1507429919998</v>
      </c>
      <c r="E43" s="534">
        <f>SUM(D41:D43)</f>
        <v>9375.0137418520007</v>
      </c>
      <c r="O43" s="572"/>
      <c r="P43" s="533">
        <f t="shared" si="2"/>
        <v>33</v>
      </c>
    </row>
    <row r="44" spans="1:18" ht="18.75" x14ac:dyDescent="0.25">
      <c r="A44" s="533">
        <f t="shared" si="1"/>
        <v>34</v>
      </c>
      <c r="B44" s="584"/>
      <c r="C44" s="751" t="s">
        <v>350</v>
      </c>
      <c r="D44" s="648"/>
      <c r="L44" s="680">
        <v>1717.9580000000001</v>
      </c>
      <c r="M44" s="769">
        <v>7</v>
      </c>
      <c r="O44" s="572"/>
      <c r="P44" s="533">
        <f t="shared" si="2"/>
        <v>34</v>
      </c>
    </row>
    <row r="45" spans="1:18" ht="18.75" x14ac:dyDescent="0.25">
      <c r="A45" s="533">
        <f t="shared" si="1"/>
        <v>35</v>
      </c>
      <c r="B45" s="584"/>
      <c r="C45" s="768" t="s">
        <v>603</v>
      </c>
      <c r="D45" s="648"/>
      <c r="L45" s="542">
        <f>9503.23885-128.129</f>
        <v>9375.1098499999989</v>
      </c>
      <c r="M45" s="769">
        <v>9</v>
      </c>
      <c r="O45" s="572"/>
      <c r="P45" s="533">
        <f t="shared" si="2"/>
        <v>35</v>
      </c>
    </row>
    <row r="46" spans="1:18" x14ac:dyDescent="0.25">
      <c r="A46" s="533">
        <f t="shared" si="1"/>
        <v>36</v>
      </c>
      <c r="B46" s="584">
        <v>922</v>
      </c>
      <c r="C46" s="19" t="s">
        <v>339</v>
      </c>
      <c r="D46" s="648"/>
      <c r="E46" s="534">
        <v>-125.07091</v>
      </c>
      <c r="O46" s="572"/>
      <c r="P46" s="533">
        <f t="shared" si="2"/>
        <v>36</v>
      </c>
    </row>
    <row r="47" spans="1:18" ht="18.75" x14ac:dyDescent="0.25">
      <c r="A47" s="533">
        <f t="shared" si="1"/>
        <v>37</v>
      </c>
      <c r="B47" s="584"/>
      <c r="C47" s="768" t="s">
        <v>603</v>
      </c>
      <c r="D47" s="648"/>
      <c r="L47" s="542">
        <v>-125.12939</v>
      </c>
      <c r="M47" s="769">
        <v>9</v>
      </c>
      <c r="O47" s="572"/>
      <c r="P47" s="533">
        <f t="shared" si="2"/>
        <v>37</v>
      </c>
    </row>
    <row r="48" spans="1:18" x14ac:dyDescent="0.25">
      <c r="A48" s="533">
        <f t="shared" si="1"/>
        <v>38</v>
      </c>
      <c r="B48" s="584">
        <v>923</v>
      </c>
      <c r="C48" s="19" t="s">
        <v>337</v>
      </c>
      <c r="D48" s="28">
        <v>-17.988400000000002</v>
      </c>
      <c r="E48" s="28"/>
      <c r="O48" s="572"/>
      <c r="P48" s="533">
        <f t="shared" si="2"/>
        <v>38</v>
      </c>
    </row>
    <row r="49" spans="1:16" x14ac:dyDescent="0.25">
      <c r="A49" s="533">
        <f t="shared" si="1"/>
        <v>39</v>
      </c>
      <c r="B49" s="584"/>
      <c r="C49" s="19" t="s">
        <v>338</v>
      </c>
      <c r="D49" s="28">
        <v>2086.0140693979997</v>
      </c>
      <c r="E49" s="28"/>
      <c r="O49" s="572"/>
      <c r="P49" s="533">
        <f t="shared" si="2"/>
        <v>39</v>
      </c>
    </row>
    <row r="50" spans="1:16" x14ac:dyDescent="0.25">
      <c r="A50" s="533">
        <f t="shared" si="1"/>
        <v>40</v>
      </c>
      <c r="B50" s="584"/>
      <c r="C50" s="19" t="s">
        <v>339</v>
      </c>
      <c r="D50" s="28">
        <v>80.426986024000001</v>
      </c>
      <c r="O50" s="572"/>
      <c r="P50" s="533">
        <f t="shared" si="2"/>
        <v>40</v>
      </c>
    </row>
    <row r="51" spans="1:16" ht="18.75" x14ac:dyDescent="0.25">
      <c r="A51" s="533">
        <f t="shared" si="1"/>
        <v>41</v>
      </c>
      <c r="B51" s="584"/>
      <c r="C51" s="37" t="s">
        <v>340</v>
      </c>
      <c r="D51" s="76">
        <v>3185.4904999999999</v>
      </c>
      <c r="E51" s="28"/>
      <c r="O51" s="572"/>
      <c r="P51" s="533">
        <f t="shared" si="2"/>
        <v>41</v>
      </c>
    </row>
    <row r="52" spans="1:16" ht="18.75" x14ac:dyDescent="0.25">
      <c r="A52" s="533">
        <f t="shared" si="1"/>
        <v>42</v>
      </c>
      <c r="B52" s="584"/>
      <c r="C52" s="37" t="s">
        <v>341</v>
      </c>
      <c r="D52" s="76">
        <v>6031</v>
      </c>
      <c r="E52" s="28"/>
      <c r="O52" s="572"/>
      <c r="P52" s="533">
        <f t="shared" si="2"/>
        <v>42</v>
      </c>
    </row>
    <row r="53" spans="1:16" ht="18.75" x14ac:dyDescent="0.25">
      <c r="A53" s="533">
        <f t="shared" si="1"/>
        <v>43</v>
      </c>
      <c r="B53" s="584"/>
      <c r="C53" s="37" t="s">
        <v>342</v>
      </c>
      <c r="D53" s="301">
        <v>1480.604</v>
      </c>
      <c r="E53" s="28">
        <f>SUM(D48:D53)</f>
        <v>12845.547155421998</v>
      </c>
      <c r="O53" s="572"/>
      <c r="P53" s="533">
        <f t="shared" si="2"/>
        <v>43</v>
      </c>
    </row>
    <row r="54" spans="1:16" ht="18.75" x14ac:dyDescent="0.25">
      <c r="A54" s="533">
        <f t="shared" si="1"/>
        <v>44</v>
      </c>
      <c r="B54" s="584"/>
      <c r="C54" s="751" t="s">
        <v>350</v>
      </c>
      <c r="D54" s="76"/>
      <c r="E54" s="28"/>
      <c r="L54" s="680">
        <v>83.521000000000001</v>
      </c>
      <c r="M54" s="769">
        <v>7</v>
      </c>
      <c r="O54" s="572"/>
      <c r="P54" s="533">
        <f t="shared" si="2"/>
        <v>44</v>
      </c>
    </row>
    <row r="55" spans="1:16" ht="18.75" x14ac:dyDescent="0.25">
      <c r="A55" s="533">
        <f t="shared" si="1"/>
        <v>45</v>
      </c>
      <c r="B55" s="584"/>
      <c r="C55" s="768" t="s">
        <v>603</v>
      </c>
      <c r="D55" s="76"/>
      <c r="E55" s="28"/>
      <c r="L55" s="542">
        <f>2732.18753-566.172</f>
        <v>2166.0155300000001</v>
      </c>
      <c r="M55" s="769">
        <v>9</v>
      </c>
      <c r="O55" s="572"/>
      <c r="P55" s="533">
        <f t="shared" si="2"/>
        <v>45</v>
      </c>
    </row>
    <row r="56" spans="1:16" x14ac:dyDescent="0.25">
      <c r="A56" s="533">
        <f t="shared" si="1"/>
        <v>46</v>
      </c>
      <c r="B56" s="584">
        <v>925</v>
      </c>
      <c r="C56" s="19" t="s">
        <v>337</v>
      </c>
      <c r="D56" s="28">
        <v>277.64044235400002</v>
      </c>
      <c r="F56" s="587"/>
      <c r="G56" s="587"/>
      <c r="H56" s="587"/>
      <c r="I56" s="587"/>
      <c r="J56" s="587"/>
      <c r="K56" s="587"/>
      <c r="L56" s="587"/>
      <c r="M56" s="749"/>
      <c r="N56" s="587"/>
      <c r="O56" s="588"/>
      <c r="P56" s="533">
        <f t="shared" si="2"/>
        <v>46</v>
      </c>
    </row>
    <row r="57" spans="1:16" x14ac:dyDescent="0.25">
      <c r="A57" s="533">
        <f t="shared" si="1"/>
        <v>47</v>
      </c>
      <c r="B57" s="584"/>
      <c r="C57" s="19" t="s">
        <v>339</v>
      </c>
      <c r="D57" s="28">
        <v>746.9557907520101</v>
      </c>
      <c r="O57" s="572"/>
      <c r="P57" s="533">
        <f t="shared" si="2"/>
        <v>47</v>
      </c>
    </row>
    <row r="58" spans="1:16" x14ac:dyDescent="0.25">
      <c r="A58" s="533">
        <f t="shared" si="1"/>
        <v>48</v>
      </c>
      <c r="B58" s="584"/>
      <c r="C58" s="586" t="s">
        <v>343</v>
      </c>
      <c r="D58" s="324">
        <v>80.508890000000008</v>
      </c>
      <c r="E58" s="534">
        <f>SUM(D56:D58)</f>
        <v>1105.1051231060101</v>
      </c>
      <c r="O58" s="572"/>
      <c r="P58" s="533">
        <f t="shared" si="2"/>
        <v>48</v>
      </c>
    </row>
    <row r="59" spans="1:16" ht="18.75" x14ac:dyDescent="0.25">
      <c r="A59" s="533">
        <f t="shared" si="1"/>
        <v>49</v>
      </c>
      <c r="B59" s="584"/>
      <c r="C59" s="768" t="s">
        <v>603</v>
      </c>
      <c r="D59" s="28"/>
      <c r="L59" s="542">
        <f>1051.78847-304.833</f>
        <v>746.95546999999988</v>
      </c>
      <c r="M59" s="769">
        <v>9</v>
      </c>
      <c r="O59" s="572"/>
      <c r="P59" s="533">
        <f t="shared" si="2"/>
        <v>49</v>
      </c>
    </row>
    <row r="60" spans="1:16" x14ac:dyDescent="0.25">
      <c r="A60" s="533">
        <f t="shared" si="1"/>
        <v>50</v>
      </c>
      <c r="B60" s="584">
        <v>926</v>
      </c>
      <c r="C60" s="586" t="s">
        <v>337</v>
      </c>
      <c r="D60" s="28">
        <v>646.29282690599985</v>
      </c>
      <c r="F60" s="587"/>
      <c r="G60" s="587"/>
      <c r="H60" s="587"/>
      <c r="I60" s="587"/>
      <c r="J60" s="587"/>
      <c r="K60" s="587"/>
      <c r="L60" s="587"/>
      <c r="M60" s="749"/>
      <c r="N60" s="587"/>
      <c r="O60" s="588"/>
      <c r="P60" s="533">
        <f t="shared" si="2"/>
        <v>50</v>
      </c>
    </row>
    <row r="61" spans="1:16" x14ac:dyDescent="0.25">
      <c r="A61" s="533">
        <f t="shared" si="1"/>
        <v>51</v>
      </c>
      <c r="B61" s="584"/>
      <c r="C61" s="586" t="s">
        <v>343</v>
      </c>
      <c r="D61" s="28">
        <v>190.64548000000002</v>
      </c>
      <c r="E61" s="28"/>
      <c r="O61" s="572"/>
      <c r="P61" s="533">
        <f t="shared" si="2"/>
        <v>51</v>
      </c>
    </row>
    <row r="62" spans="1:16" x14ac:dyDescent="0.25">
      <c r="A62" s="533">
        <f t="shared" si="1"/>
        <v>52</v>
      </c>
      <c r="B62" s="584"/>
      <c r="C62" s="19" t="s">
        <v>339</v>
      </c>
      <c r="D62" s="324">
        <v>1752.650995052019</v>
      </c>
      <c r="E62" s="534">
        <f>SUM(D60:D62)</f>
        <v>2589.589301958019</v>
      </c>
      <c r="O62" s="572"/>
      <c r="P62" s="533">
        <f t="shared" si="2"/>
        <v>52</v>
      </c>
    </row>
    <row r="63" spans="1:16" ht="18.75" x14ac:dyDescent="0.25">
      <c r="A63" s="533">
        <f t="shared" si="1"/>
        <v>53</v>
      </c>
      <c r="B63" s="584"/>
      <c r="C63" s="768" t="s">
        <v>603</v>
      </c>
      <c r="D63" s="28"/>
      <c r="L63" s="542">
        <f>2584.69528-832.044</f>
        <v>1752.65128</v>
      </c>
      <c r="M63" s="769">
        <v>9</v>
      </c>
      <c r="O63" s="572"/>
      <c r="P63" s="533">
        <f t="shared" si="2"/>
        <v>53</v>
      </c>
    </row>
    <row r="64" spans="1:16" x14ac:dyDescent="0.25">
      <c r="A64" s="533">
        <f t="shared" si="1"/>
        <v>54</v>
      </c>
      <c r="B64" s="584">
        <v>927</v>
      </c>
      <c r="C64" s="586" t="s">
        <v>319</v>
      </c>
      <c r="D64" s="19"/>
      <c r="E64" s="28">
        <v>130506.76528000001</v>
      </c>
      <c r="O64" s="572"/>
      <c r="P64" s="533">
        <f t="shared" si="2"/>
        <v>54</v>
      </c>
    </row>
    <row r="65" spans="1:18" x14ac:dyDescent="0.25">
      <c r="A65" s="533">
        <f t="shared" si="1"/>
        <v>55</v>
      </c>
      <c r="B65" s="584">
        <v>928</v>
      </c>
      <c r="C65" s="19" t="s">
        <v>344</v>
      </c>
      <c r="D65" s="28">
        <v>13015.817289999999</v>
      </c>
      <c r="E65" s="28"/>
      <c r="O65" s="572"/>
      <c r="P65" s="533">
        <f t="shared" si="2"/>
        <v>55</v>
      </c>
    </row>
    <row r="66" spans="1:18" x14ac:dyDescent="0.25">
      <c r="A66" s="533">
        <f t="shared" si="1"/>
        <v>56</v>
      </c>
      <c r="B66" s="584"/>
      <c r="C66" s="586" t="s">
        <v>337</v>
      </c>
      <c r="D66" s="28">
        <v>428.3049200000001</v>
      </c>
      <c r="E66" s="28"/>
      <c r="F66" s="53"/>
      <c r="G66" s="53"/>
      <c r="H66" s="53"/>
      <c r="I66" s="53"/>
      <c r="J66" s="53"/>
      <c r="K66" s="53"/>
      <c r="L66" s="53"/>
      <c r="M66" s="750"/>
      <c r="N66" s="53"/>
      <c r="O66" s="572"/>
      <c r="P66" s="533">
        <f t="shared" si="2"/>
        <v>56</v>
      </c>
    </row>
    <row r="67" spans="1:18" x14ac:dyDescent="0.25">
      <c r="A67" s="533">
        <f t="shared" si="1"/>
        <v>57</v>
      </c>
      <c r="B67" s="584"/>
      <c r="C67" s="586" t="s">
        <v>345</v>
      </c>
      <c r="D67" s="650">
        <v>40.544630000000005</v>
      </c>
      <c r="E67" s="28"/>
      <c r="F67" s="53"/>
      <c r="G67" s="53"/>
      <c r="H67" s="53"/>
      <c r="I67" s="53"/>
      <c r="J67" s="53"/>
      <c r="K67" s="53"/>
      <c r="L67" s="53"/>
      <c r="M67" s="750"/>
      <c r="N67" s="53"/>
      <c r="O67" s="572"/>
      <c r="P67" s="533">
        <f t="shared" si="2"/>
        <v>57</v>
      </c>
    </row>
    <row r="68" spans="1:18" x14ac:dyDescent="0.25">
      <c r="A68" s="533">
        <f t="shared" si="1"/>
        <v>58</v>
      </c>
      <c r="B68" s="584"/>
      <c r="C68" s="19" t="s">
        <v>346</v>
      </c>
      <c r="D68" s="28">
        <v>0</v>
      </c>
      <c r="E68" s="28"/>
      <c r="F68" s="53"/>
      <c r="G68" s="53"/>
      <c r="H68" s="53"/>
      <c r="I68" s="53"/>
      <c r="J68" s="53"/>
      <c r="K68" s="53"/>
      <c r="L68" s="53"/>
      <c r="M68" s="750"/>
      <c r="N68" s="53"/>
      <c r="O68" s="572"/>
      <c r="P68" s="533">
        <f t="shared" si="2"/>
        <v>58</v>
      </c>
    </row>
    <row r="69" spans="1:18" x14ac:dyDescent="0.25">
      <c r="A69" s="533">
        <f t="shared" si="1"/>
        <v>59</v>
      </c>
      <c r="B69" s="584"/>
      <c r="C69" s="19" t="s">
        <v>347</v>
      </c>
      <c r="D69" s="28">
        <v>2085.1866</v>
      </c>
      <c r="F69" s="53"/>
      <c r="G69" s="53"/>
      <c r="H69" s="53"/>
      <c r="I69" s="53"/>
      <c r="J69" s="53"/>
      <c r="K69" s="53"/>
      <c r="L69" s="53"/>
      <c r="M69" s="750"/>
      <c r="N69" s="53"/>
      <c r="O69" s="572"/>
      <c r="P69" s="533">
        <f t="shared" si="2"/>
        <v>59</v>
      </c>
    </row>
    <row r="70" spans="1:18" ht="18.75" x14ac:dyDescent="0.25">
      <c r="A70" s="533">
        <f t="shared" si="1"/>
        <v>60</v>
      </c>
      <c r="B70" s="584"/>
      <c r="C70" s="37" t="s">
        <v>348</v>
      </c>
      <c r="D70" s="324">
        <v>1002.516</v>
      </c>
      <c r="E70" s="651">
        <f>SUM(D65:D70)</f>
        <v>16572.369439999999</v>
      </c>
      <c r="F70" s="53"/>
      <c r="G70" s="53"/>
      <c r="H70" s="53"/>
      <c r="I70" s="53"/>
      <c r="J70" s="53"/>
      <c r="K70" s="53"/>
      <c r="L70" s="53"/>
      <c r="M70" s="750"/>
      <c r="N70" s="53"/>
      <c r="O70" s="572"/>
      <c r="P70" s="533">
        <f t="shared" si="2"/>
        <v>60</v>
      </c>
    </row>
    <row r="71" spans="1:18" x14ac:dyDescent="0.25">
      <c r="A71" s="533">
        <f t="shared" si="1"/>
        <v>61</v>
      </c>
      <c r="B71" s="589">
        <v>930.1</v>
      </c>
      <c r="C71" s="19" t="s">
        <v>325</v>
      </c>
      <c r="D71" s="28"/>
      <c r="E71" s="28">
        <v>-204.155</v>
      </c>
      <c r="F71" s="53"/>
      <c r="G71" s="53"/>
      <c r="H71" s="53"/>
      <c r="I71" s="53"/>
      <c r="J71" s="53"/>
      <c r="K71" s="53"/>
      <c r="L71" s="53"/>
      <c r="M71" s="750"/>
      <c r="N71" s="53"/>
      <c r="O71" s="572"/>
      <c r="P71" s="533">
        <f t="shared" si="2"/>
        <v>61</v>
      </c>
    </row>
    <row r="72" spans="1:18" x14ac:dyDescent="0.25">
      <c r="A72" s="533">
        <f t="shared" si="1"/>
        <v>62</v>
      </c>
      <c r="B72" s="589">
        <v>930.2</v>
      </c>
      <c r="C72" s="586" t="s">
        <v>349</v>
      </c>
      <c r="D72" s="590">
        <f>1342.92+1017.8</f>
        <v>2360.7200000000003</v>
      </c>
      <c r="F72" s="53"/>
      <c r="G72" s="53"/>
      <c r="H72" s="53"/>
      <c r="I72" s="53"/>
      <c r="J72" s="53"/>
      <c r="K72" s="53"/>
      <c r="L72" s="53"/>
      <c r="M72" s="750"/>
      <c r="N72" s="53"/>
      <c r="O72" s="572"/>
      <c r="P72" s="533">
        <f t="shared" si="2"/>
        <v>62</v>
      </c>
    </row>
    <row r="73" spans="1:18" ht="18.75" x14ac:dyDescent="0.25">
      <c r="A73" s="533">
        <f t="shared" si="1"/>
        <v>63</v>
      </c>
      <c r="B73" s="589"/>
      <c r="C73" s="751" t="s">
        <v>350</v>
      </c>
      <c r="D73" s="590"/>
      <c r="F73" s="53"/>
      <c r="G73" s="53"/>
      <c r="H73" s="53"/>
      <c r="I73" s="53"/>
      <c r="J73" s="53"/>
      <c r="K73" s="53"/>
      <c r="L73" s="542">
        <v>595.57100000000003</v>
      </c>
      <c r="M73" s="769">
        <v>7</v>
      </c>
      <c r="N73" s="53"/>
      <c r="O73" s="572"/>
      <c r="P73" s="533">
        <f t="shared" si="2"/>
        <v>63</v>
      </c>
    </row>
    <row r="74" spans="1:18" ht="18.75" x14ac:dyDescent="0.25">
      <c r="A74" s="533">
        <f t="shared" si="1"/>
        <v>64</v>
      </c>
      <c r="B74" s="589"/>
      <c r="C74" s="751" t="s">
        <v>350</v>
      </c>
      <c r="D74" s="752">
        <v>-690.76700000000005</v>
      </c>
      <c r="F74" s="53"/>
      <c r="G74" s="53"/>
      <c r="H74" s="53"/>
      <c r="I74" s="53"/>
      <c r="J74" s="53"/>
      <c r="K74" s="53"/>
      <c r="L74" s="753">
        <f>D74</f>
        <v>-690.76700000000005</v>
      </c>
      <c r="M74" s="769">
        <v>8</v>
      </c>
      <c r="N74" s="53"/>
      <c r="O74" s="572"/>
      <c r="P74" s="533">
        <f t="shared" si="2"/>
        <v>64</v>
      </c>
    </row>
    <row r="75" spans="1:18" ht="18.75" x14ac:dyDescent="0.25">
      <c r="A75" s="533">
        <f t="shared" si="1"/>
        <v>65</v>
      </c>
      <c r="B75" s="589"/>
      <c r="C75" s="586" t="s">
        <v>351</v>
      </c>
      <c r="D75" s="301">
        <v>-1452.373</v>
      </c>
      <c r="E75" s="590">
        <f>SUM(D72:D75)</f>
        <v>217.58000000000015</v>
      </c>
      <c r="F75" s="53"/>
      <c r="G75" s="53"/>
      <c r="H75" s="53"/>
      <c r="I75" s="53"/>
      <c r="J75" s="53"/>
      <c r="K75" s="53"/>
      <c r="L75" s="53"/>
      <c r="M75" s="750"/>
      <c r="N75" s="53"/>
      <c r="O75" s="572"/>
      <c r="P75" s="533">
        <f t="shared" si="2"/>
        <v>65</v>
      </c>
    </row>
    <row r="76" spans="1:18" x14ac:dyDescent="0.25">
      <c r="A76" s="533">
        <f t="shared" si="1"/>
        <v>66</v>
      </c>
      <c r="B76" s="652">
        <v>935</v>
      </c>
      <c r="C76" s="586" t="s">
        <v>352</v>
      </c>
      <c r="D76" s="590">
        <f>-207.87024-1719.52219</f>
        <v>-1927.3924299999999</v>
      </c>
      <c r="E76" s="591"/>
      <c r="F76" s="53"/>
      <c r="G76" s="53"/>
      <c r="H76" s="53"/>
      <c r="I76" s="53"/>
      <c r="J76" s="53"/>
      <c r="K76" s="53"/>
      <c r="L76" s="53"/>
      <c r="M76" s="750"/>
      <c r="N76" s="53"/>
      <c r="O76" s="572"/>
      <c r="P76" s="533">
        <f t="shared" si="2"/>
        <v>66</v>
      </c>
    </row>
    <row r="77" spans="1:18" x14ac:dyDescent="0.25">
      <c r="A77" s="533">
        <f t="shared" si="1"/>
        <v>67</v>
      </c>
      <c r="B77" s="584"/>
      <c r="C77" s="593" t="s">
        <v>353</v>
      </c>
      <c r="D77" s="592">
        <v>12.147468914000001</v>
      </c>
      <c r="E77" s="592">
        <f>SUM(D76:D77)</f>
        <v>-1915.2449610859999</v>
      </c>
      <c r="F77" s="53"/>
      <c r="G77" s="53"/>
      <c r="H77" s="53"/>
      <c r="I77" s="53"/>
      <c r="J77" s="53"/>
      <c r="K77" s="53"/>
      <c r="L77" s="793"/>
      <c r="M77" s="750"/>
      <c r="N77" s="53"/>
      <c r="O77" s="572"/>
      <c r="P77" s="533">
        <f t="shared" si="2"/>
        <v>67</v>
      </c>
    </row>
    <row r="78" spans="1:18" x14ac:dyDescent="0.25">
      <c r="A78" s="533">
        <f t="shared" si="1"/>
        <v>68</v>
      </c>
      <c r="B78" s="594"/>
      <c r="C78" s="562"/>
      <c r="D78" s="595"/>
      <c r="E78" s="28"/>
      <c r="F78" s="53"/>
      <c r="G78" s="53"/>
      <c r="H78" s="53"/>
      <c r="I78" s="53"/>
      <c r="J78" s="53"/>
      <c r="K78" s="53"/>
      <c r="L78" s="53"/>
      <c r="M78" s="750"/>
      <c r="N78" s="53"/>
      <c r="O78" s="572"/>
      <c r="P78" s="533">
        <f t="shared" si="2"/>
        <v>68</v>
      </c>
      <c r="R78" s="76"/>
    </row>
    <row r="79" spans="1:18" ht="16.5" thickBot="1" x14ac:dyDescent="0.3">
      <c r="A79" s="533">
        <f t="shared" si="1"/>
        <v>69</v>
      </c>
      <c r="B79" s="580"/>
      <c r="C79" s="596" t="s">
        <v>354</v>
      </c>
      <c r="D79" s="597"/>
      <c r="E79" s="20">
        <f>SUM(E37:E77)</f>
        <v>171935.58274067604</v>
      </c>
      <c r="F79" s="607"/>
      <c r="G79" s="607"/>
      <c r="H79" s="607"/>
      <c r="I79" s="607"/>
      <c r="J79" s="607"/>
      <c r="K79" s="607"/>
      <c r="L79" s="20">
        <f>SUM(L37:L77)</f>
        <v>16552.13812</v>
      </c>
      <c r="M79" s="750"/>
      <c r="N79" s="792"/>
      <c r="O79" s="572"/>
      <c r="P79" s="533">
        <f t="shared" si="2"/>
        <v>69</v>
      </c>
    </row>
    <row r="80" spans="1:18" ht="16.5" thickTop="1" x14ac:dyDescent="0.25">
      <c r="A80" s="533">
        <f t="shared" si="1"/>
        <v>70</v>
      </c>
      <c r="B80" s="580"/>
      <c r="C80" s="596"/>
      <c r="D80" s="597"/>
      <c r="E80" s="791"/>
      <c r="F80" s="607"/>
      <c r="G80" s="607"/>
      <c r="H80" s="607"/>
      <c r="I80" s="607"/>
      <c r="J80" s="607"/>
      <c r="K80" s="607"/>
      <c r="L80" s="791"/>
      <c r="M80" s="750"/>
      <c r="N80" s="607"/>
      <c r="O80" s="572"/>
      <c r="P80" s="533">
        <f t="shared" si="2"/>
        <v>70</v>
      </c>
    </row>
    <row r="81" spans="1:16" x14ac:dyDescent="0.25">
      <c r="A81" s="533">
        <f t="shared" si="1"/>
        <v>71</v>
      </c>
      <c r="B81" s="580"/>
      <c r="C81" s="596"/>
      <c r="E81" s="598"/>
      <c r="F81" s="607"/>
      <c r="G81" s="607"/>
      <c r="H81" s="607"/>
      <c r="I81" s="607"/>
      <c r="J81" s="607"/>
      <c r="K81" s="607"/>
      <c r="L81" s="607"/>
      <c r="M81" s="750"/>
      <c r="N81" s="607"/>
      <c r="O81" s="572"/>
      <c r="P81" s="533">
        <f t="shared" si="2"/>
        <v>71</v>
      </c>
    </row>
    <row r="82" spans="1:16" x14ac:dyDescent="0.25">
      <c r="A82" s="533">
        <f t="shared" si="1"/>
        <v>72</v>
      </c>
      <c r="B82" s="66" t="s">
        <v>31</v>
      </c>
      <c r="C82" s="23" t="s">
        <v>632</v>
      </c>
      <c r="E82" s="598"/>
      <c r="F82" s="607"/>
      <c r="G82" s="607"/>
      <c r="H82" s="607"/>
      <c r="I82" s="607"/>
      <c r="J82" s="607"/>
      <c r="K82" s="607"/>
      <c r="L82" s="607"/>
      <c r="M82" s="750"/>
      <c r="N82" s="607"/>
      <c r="O82" s="572"/>
      <c r="P82" s="533">
        <f t="shared" si="2"/>
        <v>72</v>
      </c>
    </row>
    <row r="83" spans="1:16" ht="18.75" x14ac:dyDescent="0.25">
      <c r="A83" s="533">
        <f t="shared" si="1"/>
        <v>73</v>
      </c>
      <c r="B83" s="326">
        <v>1</v>
      </c>
      <c r="C83" s="325" t="s">
        <v>355</v>
      </c>
      <c r="E83" s="598"/>
      <c r="F83" s="607"/>
      <c r="G83" s="607"/>
      <c r="H83" s="607"/>
      <c r="I83" s="607"/>
      <c r="J83" s="607"/>
      <c r="K83" s="607"/>
      <c r="L83" s="607"/>
      <c r="M83" s="750"/>
      <c r="N83" s="607"/>
      <c r="O83" s="572"/>
      <c r="P83" s="533">
        <f t="shared" si="2"/>
        <v>73</v>
      </c>
    </row>
    <row r="84" spans="1:16" ht="18.75" x14ac:dyDescent="0.25">
      <c r="A84" s="533">
        <f t="shared" si="1"/>
        <v>74</v>
      </c>
      <c r="B84" s="599"/>
      <c r="C84" s="18" t="s">
        <v>356</v>
      </c>
      <c r="E84" s="598"/>
      <c r="F84" s="607"/>
      <c r="G84" s="607"/>
      <c r="H84" s="607"/>
      <c r="I84" s="607"/>
      <c r="J84" s="607"/>
      <c r="K84" s="607"/>
      <c r="L84" s="607"/>
      <c r="M84" s="750"/>
      <c r="N84" s="607"/>
      <c r="O84" s="572"/>
      <c r="P84" s="533">
        <f t="shared" si="2"/>
        <v>74</v>
      </c>
    </row>
    <row r="85" spans="1:16" ht="18.75" x14ac:dyDescent="0.25">
      <c r="A85" s="533">
        <f t="shared" si="1"/>
        <v>75</v>
      </c>
      <c r="B85" s="653" t="s">
        <v>357</v>
      </c>
      <c r="C85" s="37" t="s">
        <v>358</v>
      </c>
      <c r="E85" s="598"/>
      <c r="F85" s="607"/>
      <c r="G85" s="607"/>
      <c r="H85" s="607"/>
      <c r="I85" s="607"/>
      <c r="J85" s="607"/>
      <c r="K85" s="607"/>
      <c r="L85" s="607"/>
      <c r="M85" s="750"/>
      <c r="N85" s="607"/>
      <c r="O85" s="572"/>
      <c r="P85" s="533">
        <f t="shared" si="2"/>
        <v>75</v>
      </c>
    </row>
    <row r="86" spans="1:16" ht="18.75" x14ac:dyDescent="0.25">
      <c r="A86" s="533">
        <f t="shared" si="1"/>
        <v>76</v>
      </c>
      <c r="B86" s="653"/>
      <c r="C86" s="37" t="s">
        <v>359</v>
      </c>
      <c r="E86" s="598"/>
      <c r="F86" s="607"/>
      <c r="G86" s="607"/>
      <c r="H86" s="607"/>
      <c r="I86" s="607"/>
      <c r="J86" s="607"/>
      <c r="K86" s="607"/>
      <c r="L86" s="607"/>
      <c r="M86" s="750"/>
      <c r="N86" s="607"/>
      <c r="O86" s="572"/>
      <c r="P86" s="533">
        <f t="shared" si="2"/>
        <v>76</v>
      </c>
    </row>
    <row r="87" spans="1:16" ht="18.75" x14ac:dyDescent="0.25">
      <c r="A87" s="533">
        <f t="shared" si="1"/>
        <v>77</v>
      </c>
      <c r="B87" s="653" t="s">
        <v>360</v>
      </c>
      <c r="C87" s="37" t="s">
        <v>361</v>
      </c>
      <c r="E87" s="598"/>
      <c r="F87" s="607"/>
      <c r="G87" s="607"/>
      <c r="H87" s="607"/>
      <c r="I87" s="607"/>
      <c r="J87" s="607"/>
      <c r="K87" s="607"/>
      <c r="L87" s="607"/>
      <c r="M87" s="750"/>
      <c r="N87" s="607"/>
      <c r="O87" s="572"/>
      <c r="P87" s="533">
        <f t="shared" si="2"/>
        <v>77</v>
      </c>
    </row>
    <row r="88" spans="1:16" ht="18.75" x14ac:dyDescent="0.25">
      <c r="A88" s="533">
        <f t="shared" si="1"/>
        <v>78</v>
      </c>
      <c r="B88" s="653"/>
      <c r="C88" s="37" t="s">
        <v>362</v>
      </c>
      <c r="E88" s="598"/>
      <c r="F88" s="607"/>
      <c r="G88" s="607"/>
      <c r="H88" s="607"/>
      <c r="I88" s="607"/>
      <c r="J88" s="607"/>
      <c r="K88" s="607"/>
      <c r="L88" s="607"/>
      <c r="M88" s="750"/>
      <c r="N88" s="607"/>
      <c r="O88" s="572"/>
      <c r="P88" s="533">
        <f t="shared" si="2"/>
        <v>78</v>
      </c>
    </row>
    <row r="89" spans="1:16" ht="18.75" x14ac:dyDescent="0.25">
      <c r="A89" s="533">
        <f t="shared" ref="A89:A98" si="6">A88+1</f>
        <v>79</v>
      </c>
      <c r="B89" s="653"/>
      <c r="C89" s="37" t="s">
        <v>363</v>
      </c>
      <c r="E89" s="598"/>
      <c r="F89" s="607"/>
      <c r="G89" s="607"/>
      <c r="H89" s="607"/>
      <c r="I89" s="607"/>
      <c r="J89" s="607"/>
      <c r="K89" s="607"/>
      <c r="L89" s="607"/>
      <c r="M89" s="750"/>
      <c r="N89" s="607"/>
      <c r="O89" s="572"/>
      <c r="P89" s="533">
        <f t="shared" ref="P89:P98" si="7">P88+1</f>
        <v>79</v>
      </c>
    </row>
    <row r="90" spans="1:16" ht="18.75" x14ac:dyDescent="0.25">
      <c r="A90" s="533">
        <f t="shared" si="6"/>
        <v>80</v>
      </c>
      <c r="B90" s="653" t="s">
        <v>364</v>
      </c>
      <c r="C90" s="37" t="s">
        <v>365</v>
      </c>
      <c r="E90" s="598"/>
      <c r="F90" s="607"/>
      <c r="G90" s="607"/>
      <c r="H90" s="607"/>
      <c r="I90" s="607"/>
      <c r="J90" s="607"/>
      <c r="K90" s="607"/>
      <c r="L90" s="607"/>
      <c r="M90" s="750"/>
      <c r="N90" s="607"/>
      <c r="O90" s="572"/>
      <c r="P90" s="533">
        <f t="shared" si="7"/>
        <v>80</v>
      </c>
    </row>
    <row r="91" spans="1:16" ht="18.75" x14ac:dyDescent="0.25">
      <c r="A91" s="533">
        <f t="shared" si="6"/>
        <v>81</v>
      </c>
      <c r="B91" s="653"/>
      <c r="C91" s="37" t="s">
        <v>366</v>
      </c>
      <c r="E91" s="598"/>
      <c r="F91" s="607"/>
      <c r="G91" s="607"/>
      <c r="H91" s="607"/>
      <c r="I91" s="607"/>
      <c r="J91" s="607"/>
      <c r="K91" s="607"/>
      <c r="L91" s="607"/>
      <c r="M91" s="750"/>
      <c r="N91" s="607"/>
      <c r="O91" s="572"/>
      <c r="P91" s="533">
        <f t="shared" si="7"/>
        <v>81</v>
      </c>
    </row>
    <row r="92" spans="1:16" ht="18.75" x14ac:dyDescent="0.25">
      <c r="A92" s="533">
        <f t="shared" si="6"/>
        <v>82</v>
      </c>
      <c r="B92" s="654">
        <v>5</v>
      </c>
      <c r="C92" s="37" t="s">
        <v>367</v>
      </c>
      <c r="E92" s="598"/>
      <c r="F92" s="607"/>
      <c r="G92" s="607"/>
      <c r="H92" s="607"/>
      <c r="I92" s="607"/>
      <c r="J92" s="607"/>
      <c r="K92" s="607"/>
      <c r="L92" s="607"/>
      <c r="M92" s="750"/>
      <c r="N92" s="607"/>
      <c r="O92" s="572"/>
      <c r="P92" s="533">
        <f t="shared" si="7"/>
        <v>82</v>
      </c>
    </row>
    <row r="93" spans="1:16" ht="18.75" x14ac:dyDescent="0.25">
      <c r="A93" s="533">
        <f t="shared" si="6"/>
        <v>83</v>
      </c>
      <c r="B93" s="654">
        <v>6</v>
      </c>
      <c r="C93" s="37" t="s">
        <v>368</v>
      </c>
      <c r="E93" s="598"/>
      <c r="F93" s="607"/>
      <c r="G93" s="607"/>
      <c r="H93" s="607"/>
      <c r="I93" s="607"/>
      <c r="J93" s="607"/>
      <c r="K93" s="607"/>
      <c r="L93" s="607"/>
      <c r="M93" s="750"/>
      <c r="N93" s="607"/>
      <c r="O93" s="572"/>
      <c r="P93" s="533">
        <f t="shared" si="7"/>
        <v>83</v>
      </c>
    </row>
    <row r="94" spans="1:16" ht="18.75" x14ac:dyDescent="0.25">
      <c r="A94" s="533">
        <f t="shared" si="6"/>
        <v>84</v>
      </c>
      <c r="B94" s="654">
        <v>7</v>
      </c>
      <c r="C94" s="37" t="s">
        <v>596</v>
      </c>
      <c r="E94" s="598"/>
      <c r="F94" s="607"/>
      <c r="G94" s="607"/>
      <c r="H94" s="607"/>
      <c r="I94" s="607"/>
      <c r="J94" s="607"/>
      <c r="K94" s="607"/>
      <c r="L94" s="607"/>
      <c r="M94" s="750"/>
      <c r="N94" s="607"/>
      <c r="O94" s="572"/>
      <c r="P94" s="533">
        <f t="shared" si="7"/>
        <v>84</v>
      </c>
    </row>
    <row r="95" spans="1:16" ht="18.75" x14ac:dyDescent="0.25">
      <c r="A95" s="533">
        <f t="shared" si="6"/>
        <v>85</v>
      </c>
      <c r="B95" s="654"/>
      <c r="C95" s="37" t="s">
        <v>597</v>
      </c>
      <c r="E95" s="598"/>
      <c r="F95" s="607"/>
      <c r="G95" s="607"/>
      <c r="H95" s="607"/>
      <c r="I95" s="607"/>
      <c r="J95" s="607"/>
      <c r="K95" s="607"/>
      <c r="L95" s="607"/>
      <c r="M95" s="750"/>
      <c r="N95" s="607"/>
      <c r="O95" s="572"/>
      <c r="P95" s="533">
        <f t="shared" si="7"/>
        <v>85</v>
      </c>
    </row>
    <row r="96" spans="1:16" ht="18.75" x14ac:dyDescent="0.25">
      <c r="A96" s="533">
        <f t="shared" si="6"/>
        <v>86</v>
      </c>
      <c r="B96" s="654">
        <v>8</v>
      </c>
      <c r="C96" s="136" t="s">
        <v>593</v>
      </c>
      <c r="E96" s="598"/>
      <c r="F96" s="607"/>
      <c r="G96" s="607"/>
      <c r="H96" s="607"/>
      <c r="I96" s="607"/>
      <c r="J96" s="607"/>
      <c r="K96" s="607"/>
      <c r="L96" s="607"/>
      <c r="M96" s="750"/>
      <c r="N96" s="607"/>
      <c r="O96" s="572"/>
      <c r="P96" s="533">
        <f t="shared" si="7"/>
        <v>86</v>
      </c>
    </row>
    <row r="97" spans="1:16" ht="16.5" x14ac:dyDescent="0.25">
      <c r="A97" s="533">
        <f t="shared" si="6"/>
        <v>87</v>
      </c>
      <c r="B97" s="770">
        <v>9</v>
      </c>
      <c r="C97" s="18" t="s">
        <v>604</v>
      </c>
      <c r="E97" s="598"/>
      <c r="F97" s="607"/>
      <c r="G97" s="607"/>
      <c r="H97" s="607"/>
      <c r="I97" s="607"/>
      <c r="J97" s="607"/>
      <c r="K97" s="607"/>
      <c r="L97" s="607"/>
      <c r="M97" s="750"/>
      <c r="N97" s="607"/>
      <c r="O97" s="572"/>
      <c r="P97" s="533">
        <f t="shared" si="7"/>
        <v>87</v>
      </c>
    </row>
    <row r="98" spans="1:16" ht="16.5" thickBot="1" x14ac:dyDescent="0.3">
      <c r="A98" s="533">
        <f t="shared" si="6"/>
        <v>88</v>
      </c>
      <c r="B98" s="600"/>
      <c r="C98" s="601"/>
      <c r="D98" s="535"/>
      <c r="E98" s="535"/>
      <c r="F98" s="535"/>
      <c r="G98" s="535"/>
      <c r="H98" s="535"/>
      <c r="I98" s="535"/>
      <c r="J98" s="535"/>
      <c r="K98" s="535"/>
      <c r="L98" s="535"/>
      <c r="M98" s="737"/>
      <c r="N98" s="535"/>
      <c r="O98" s="579"/>
      <c r="P98" s="533">
        <f t="shared" si="7"/>
        <v>88</v>
      </c>
    </row>
    <row r="99" spans="1:16" x14ac:dyDescent="0.25">
      <c r="C99" s="562"/>
    </row>
    <row r="100" spans="1:16" x14ac:dyDescent="0.25">
      <c r="A100" s="633"/>
      <c r="C100" s="562"/>
      <c r="D100" s="602"/>
      <c r="E100" s="602"/>
    </row>
    <row r="101" spans="1:16" ht="18.75" x14ac:dyDescent="0.25">
      <c r="A101" s="603"/>
      <c r="B101" s="327"/>
      <c r="C101" s="18"/>
      <c r="D101" s="163"/>
      <c r="E101" s="163"/>
      <c r="F101" s="163"/>
      <c r="G101" s="163"/>
      <c r="H101" s="163"/>
      <c r="I101" s="163"/>
      <c r="J101" s="163"/>
      <c r="K101" s="163"/>
      <c r="L101" s="163"/>
      <c r="M101" s="185"/>
      <c r="N101" s="163"/>
    </row>
    <row r="102" spans="1:16" ht="18.75" x14ac:dyDescent="0.25">
      <c r="A102" s="603"/>
      <c r="B102" s="327"/>
      <c r="C102" s="267"/>
      <c r="D102" s="163"/>
      <c r="E102" s="163"/>
      <c r="F102" s="163"/>
      <c r="G102" s="163"/>
      <c r="H102" s="163"/>
      <c r="I102" s="163"/>
      <c r="J102" s="163"/>
      <c r="K102" s="163"/>
      <c r="L102" s="163"/>
      <c r="M102" s="185"/>
      <c r="N102" s="163"/>
    </row>
    <row r="103" spans="1:16" ht="18.75" x14ac:dyDescent="0.25">
      <c r="A103" s="603"/>
      <c r="B103" s="36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24"/>
      <c r="N103" s="18"/>
    </row>
    <row r="104" spans="1:16" ht="18.75" x14ac:dyDescent="0.25">
      <c r="A104" s="603"/>
      <c r="C104" s="562"/>
    </row>
    <row r="105" spans="1:16" ht="18.75" x14ac:dyDescent="0.25">
      <c r="A105" s="603"/>
      <c r="C105" s="562"/>
    </row>
    <row r="106" spans="1:16" ht="18.75" x14ac:dyDescent="0.25">
      <c r="A106" s="603"/>
      <c r="C106" s="562"/>
    </row>
    <row r="107" spans="1:16" x14ac:dyDescent="0.25">
      <c r="A107" s="633"/>
      <c r="C107" s="562"/>
    </row>
    <row r="108" spans="1:16" ht="18.75" x14ac:dyDescent="0.25">
      <c r="A108" s="603"/>
      <c r="C108" s="562"/>
    </row>
    <row r="109" spans="1:16" x14ac:dyDescent="0.25">
      <c r="A109" s="633"/>
      <c r="C109" s="562"/>
    </row>
    <row r="110" spans="1:16" ht="18.75" x14ac:dyDescent="0.25">
      <c r="A110" s="603"/>
      <c r="C110" s="562"/>
    </row>
    <row r="111" spans="1:16" x14ac:dyDescent="0.25">
      <c r="A111" s="633"/>
      <c r="C111" s="562"/>
    </row>
    <row r="112" spans="1:16" ht="18.75" x14ac:dyDescent="0.25">
      <c r="A112" s="603"/>
      <c r="C112" s="562"/>
    </row>
    <row r="113" spans="1:2" ht="18.75" x14ac:dyDescent="0.25">
      <c r="A113" s="603"/>
      <c r="B113" s="562"/>
    </row>
    <row r="114" spans="1:2" ht="18.75" x14ac:dyDescent="0.25">
      <c r="A114" s="603"/>
      <c r="B114" s="562"/>
    </row>
    <row r="115" spans="1:2" x14ac:dyDescent="0.25">
      <c r="B115" s="562"/>
    </row>
    <row r="116" spans="1:2" ht="18.75" x14ac:dyDescent="0.25">
      <c r="A116" s="603"/>
      <c r="B116" s="562"/>
    </row>
    <row r="117" spans="1:2" x14ac:dyDescent="0.25">
      <c r="A117" s="604"/>
      <c r="B117" s="605"/>
    </row>
    <row r="118" spans="1:2" x14ac:dyDescent="0.25">
      <c r="B118" s="562"/>
    </row>
  </sheetData>
  <mergeCells count="4">
    <mergeCell ref="B2:O2"/>
    <mergeCell ref="B3:O3"/>
    <mergeCell ref="B4:O4"/>
    <mergeCell ref="B5:O5"/>
  </mergeCells>
  <printOptions horizontalCentered="1"/>
  <pageMargins left="0.25" right="0.25" top="0.5" bottom="0.5" header="0.35" footer="0.25"/>
  <pageSetup scale="39" orientation="portrait" r:id="rId1"/>
  <headerFooter scaleWithDoc="0" alignWithMargins="0">
    <oddHeader>&amp;C&amp;"Times New Roman,Bold"&amp;6REVISED</oddHeader>
    <oddFooter>&amp;L&amp;F&amp;CPage 8.2&amp;R&amp;A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A886-F48A-420C-8F1C-1FCD04112D9F}">
  <sheetPr>
    <pageSetUpPr fitToPage="1"/>
  </sheetPr>
  <dimension ref="A1:O103"/>
  <sheetViews>
    <sheetView zoomScale="80" zoomScaleNormal="80" workbookViewId="0"/>
  </sheetViews>
  <sheetFormatPr defaultColWidth="9.140625" defaultRowHeight="15.75" x14ac:dyDescent="0.25"/>
  <cols>
    <col min="1" max="1" width="5.140625" style="533" customWidth="1"/>
    <col min="2" max="2" width="8.5703125" style="534" customWidth="1"/>
    <col min="3" max="3" width="68.85546875" style="534" customWidth="1"/>
    <col min="4" max="6" width="16.85546875" style="534" customWidth="1"/>
    <col min="7" max="7" width="2.85546875" style="534" customWidth="1"/>
    <col min="8" max="8" width="16.85546875" style="534" customWidth="1"/>
    <col min="9" max="9" width="3" style="534" bestFit="1" customWidth="1"/>
    <col min="10" max="10" width="16.85546875" style="534" customWidth="1"/>
    <col min="11" max="11" width="34.5703125" style="534" customWidth="1"/>
    <col min="12" max="12" width="5.140625" style="533" customWidth="1"/>
    <col min="13" max="13" width="4" style="534" customWidth="1"/>
    <col min="14" max="14" width="13.140625" style="534" bestFit="1" customWidth="1"/>
    <col min="15" max="15" width="9.140625" style="534"/>
    <col min="16" max="16" width="9.85546875" style="534" customWidth="1"/>
    <col min="17" max="17" width="10" style="534" customWidth="1"/>
    <col min="18" max="16384" width="9.140625" style="534"/>
  </cols>
  <sheetData>
    <row r="1" spans="1:15" x14ac:dyDescent="0.25">
      <c r="A1" s="691" t="s">
        <v>636</v>
      </c>
    </row>
    <row r="3" spans="1:15" x14ac:dyDescent="0.25">
      <c r="B3" s="813" t="s">
        <v>19</v>
      </c>
      <c r="C3" s="813"/>
      <c r="D3" s="813"/>
      <c r="E3" s="813"/>
      <c r="F3" s="813"/>
      <c r="G3" s="813"/>
      <c r="H3" s="813"/>
      <c r="I3" s="813"/>
      <c r="J3" s="813"/>
      <c r="K3" s="813"/>
      <c r="L3" s="633"/>
    </row>
    <row r="4" spans="1:15" x14ac:dyDescent="0.25">
      <c r="B4" s="813" t="s">
        <v>286</v>
      </c>
      <c r="C4" s="813"/>
      <c r="D4" s="813"/>
      <c r="E4" s="813"/>
      <c r="F4" s="813"/>
      <c r="G4" s="813"/>
      <c r="H4" s="813"/>
      <c r="I4" s="813"/>
      <c r="J4" s="813"/>
      <c r="K4" s="813"/>
      <c r="L4" s="633"/>
    </row>
    <row r="5" spans="1:15" x14ac:dyDescent="0.25">
      <c r="B5" s="813" t="s">
        <v>287</v>
      </c>
      <c r="C5" s="813"/>
      <c r="D5" s="813"/>
      <c r="E5" s="813"/>
      <c r="F5" s="813"/>
      <c r="G5" s="813"/>
      <c r="H5" s="813"/>
      <c r="I5" s="813"/>
      <c r="J5" s="813"/>
      <c r="K5" s="813"/>
      <c r="L5" s="633"/>
    </row>
    <row r="6" spans="1:15" x14ac:dyDescent="0.25">
      <c r="B6" s="814" t="s">
        <v>3</v>
      </c>
      <c r="C6" s="814"/>
      <c r="D6" s="814"/>
      <c r="E6" s="814"/>
      <c r="F6" s="814"/>
      <c r="G6" s="814"/>
      <c r="H6" s="814"/>
      <c r="I6" s="814"/>
      <c r="J6" s="814"/>
      <c r="K6" s="814"/>
      <c r="L6" s="633"/>
    </row>
    <row r="7" spans="1:15" ht="16.5" thickBot="1" x14ac:dyDescent="0.3">
      <c r="D7" s="535"/>
      <c r="E7" s="535"/>
      <c r="F7" s="535"/>
      <c r="G7" s="535"/>
      <c r="H7" s="535"/>
      <c r="I7" s="535"/>
      <c r="J7" s="535"/>
      <c r="K7" s="535"/>
      <c r="N7" s="37"/>
    </row>
    <row r="8" spans="1:15" ht="18.75" x14ac:dyDescent="0.25">
      <c r="A8" s="633"/>
      <c r="B8" s="536"/>
      <c r="C8" s="537"/>
      <c r="D8" s="538" t="s">
        <v>288</v>
      </c>
      <c r="E8" s="539" t="s">
        <v>289</v>
      </c>
      <c r="F8" s="69" t="s">
        <v>290</v>
      </c>
      <c r="G8" s="70"/>
      <c r="H8" s="631" t="s">
        <v>291</v>
      </c>
      <c r="I8" s="71"/>
      <c r="J8" s="71" t="s">
        <v>292</v>
      </c>
      <c r="K8" s="540"/>
      <c r="L8" s="633"/>
    </row>
    <row r="9" spans="1:15" x14ac:dyDescent="0.25">
      <c r="A9" s="533" t="s">
        <v>4</v>
      </c>
      <c r="B9" s="541" t="s">
        <v>293</v>
      </c>
      <c r="C9" s="542"/>
      <c r="D9" s="543" t="s">
        <v>294</v>
      </c>
      <c r="E9" s="633" t="s">
        <v>295</v>
      </c>
      <c r="F9" s="543" t="s">
        <v>294</v>
      </c>
      <c r="G9" s="544"/>
      <c r="H9" s="369" t="s">
        <v>296</v>
      </c>
      <c r="I9" s="545"/>
      <c r="J9" s="72" t="s">
        <v>297</v>
      </c>
      <c r="K9" s="546"/>
      <c r="L9" s="533" t="s">
        <v>4</v>
      </c>
    </row>
    <row r="10" spans="1:15" ht="16.5" thickBot="1" x14ac:dyDescent="0.3">
      <c r="A10" s="533" t="s">
        <v>5</v>
      </c>
      <c r="B10" s="547" t="s">
        <v>298</v>
      </c>
      <c r="C10" s="548" t="s">
        <v>6</v>
      </c>
      <c r="D10" s="549" t="s">
        <v>299</v>
      </c>
      <c r="E10" s="548" t="s">
        <v>300</v>
      </c>
      <c r="F10" s="549" t="s">
        <v>301</v>
      </c>
      <c r="G10" s="550"/>
      <c r="H10" s="551" t="s">
        <v>302</v>
      </c>
      <c r="I10" s="552"/>
      <c r="J10" s="553" t="s">
        <v>303</v>
      </c>
      <c r="K10" s="554" t="s">
        <v>8</v>
      </c>
      <c r="L10" s="533" t="s">
        <v>5</v>
      </c>
      <c r="M10" s="533"/>
    </row>
    <row r="11" spans="1:15" x14ac:dyDescent="0.25">
      <c r="B11" s="555"/>
      <c r="C11" s="556" t="s">
        <v>304</v>
      </c>
      <c r="D11" s="557"/>
      <c r="E11" s="645"/>
      <c r="F11" s="558"/>
      <c r="G11" s="559"/>
      <c r="H11" s="559"/>
      <c r="I11" s="560"/>
      <c r="J11" s="646"/>
      <c r="K11" s="561"/>
    </row>
    <row r="12" spans="1:15" ht="19.5" x14ac:dyDescent="0.25">
      <c r="A12" s="533">
        <v>1</v>
      </c>
      <c r="B12" s="555">
        <v>920</v>
      </c>
      <c r="C12" s="562" t="s">
        <v>305</v>
      </c>
      <c r="D12" s="74">
        <v>46411.108999999997</v>
      </c>
      <c r="E12" s="74">
        <f>E37</f>
        <v>968.08356942399996</v>
      </c>
      <c r="F12" s="74">
        <f>D12-E12</f>
        <v>45443.025430575995</v>
      </c>
      <c r="G12" s="25"/>
      <c r="H12" s="34"/>
      <c r="I12" s="563"/>
      <c r="J12" s="74">
        <f>F12+H12</f>
        <v>45443.025430575995</v>
      </c>
      <c r="K12" s="73" t="s">
        <v>306</v>
      </c>
      <c r="L12" s="533">
        <f>A12</f>
        <v>1</v>
      </c>
      <c r="M12" s="534" t="s">
        <v>228</v>
      </c>
      <c r="N12" s="565"/>
    </row>
    <row r="13" spans="1:15" ht="19.5" x14ac:dyDescent="0.25">
      <c r="A13" s="533">
        <f t="shared" ref="A13:A75" si="0">A12+1</f>
        <v>2</v>
      </c>
      <c r="B13" s="555">
        <v>921</v>
      </c>
      <c r="C13" s="562" t="s">
        <v>307</v>
      </c>
      <c r="D13" s="75">
        <v>28861</v>
      </c>
      <c r="E13" s="75">
        <f>E40</f>
        <v>9375.0137418520007</v>
      </c>
      <c r="F13" s="75">
        <f>D13-E13</f>
        <v>19485.986258147997</v>
      </c>
      <c r="G13" s="25"/>
      <c r="H13" s="76"/>
      <c r="I13" s="563"/>
      <c r="J13" s="75">
        <f>F13+H13</f>
        <v>19485.986258147997</v>
      </c>
      <c r="K13" s="73" t="s">
        <v>308</v>
      </c>
      <c r="L13" s="533">
        <f t="shared" ref="L13:L75" si="1">L12+1</f>
        <v>2</v>
      </c>
      <c r="N13" s="565"/>
      <c r="O13" s="566"/>
    </row>
    <row r="14" spans="1:15" x14ac:dyDescent="0.25">
      <c r="A14" s="533">
        <f t="shared" si="0"/>
        <v>3</v>
      </c>
      <c r="B14" s="555">
        <v>922</v>
      </c>
      <c r="C14" s="562" t="s">
        <v>309</v>
      </c>
      <c r="D14" s="75">
        <v>-18872.382000000001</v>
      </c>
      <c r="E14" s="75">
        <f>E41</f>
        <v>-125.07091</v>
      </c>
      <c r="F14" s="75">
        <f t="shared" ref="F14:F24" si="2">D14-E14</f>
        <v>-18747.311090000003</v>
      </c>
      <c r="G14" s="76"/>
      <c r="H14" s="76"/>
      <c r="I14" s="77"/>
      <c r="J14" s="75">
        <f t="shared" ref="J14:J16" si="3">F14+H14</f>
        <v>-18747.311090000003</v>
      </c>
      <c r="K14" s="73" t="s">
        <v>310</v>
      </c>
      <c r="L14" s="533">
        <f t="shared" si="1"/>
        <v>3</v>
      </c>
      <c r="N14" s="565"/>
    </row>
    <row r="15" spans="1:15" ht="19.5" x14ac:dyDescent="0.25">
      <c r="A15" s="533">
        <f t="shared" si="0"/>
        <v>4</v>
      </c>
      <c r="B15" s="555">
        <v>923</v>
      </c>
      <c r="C15" s="562" t="s">
        <v>311</v>
      </c>
      <c r="D15" s="75">
        <v>108535.25900000001</v>
      </c>
      <c r="E15" s="75">
        <f>E47</f>
        <v>12845.547155421998</v>
      </c>
      <c r="F15" s="75">
        <f t="shared" si="2"/>
        <v>95689.711844578007</v>
      </c>
      <c r="G15" s="25"/>
      <c r="H15" s="76"/>
      <c r="I15" s="563"/>
      <c r="J15" s="75">
        <f t="shared" si="3"/>
        <v>95689.711844578007</v>
      </c>
      <c r="K15" s="73" t="s">
        <v>312</v>
      </c>
      <c r="L15" s="533">
        <f t="shared" si="1"/>
        <v>4</v>
      </c>
      <c r="N15" s="565"/>
    </row>
    <row r="16" spans="1:15" x14ac:dyDescent="0.25">
      <c r="A16" s="533">
        <f t="shared" si="0"/>
        <v>5</v>
      </c>
      <c r="B16" s="555">
        <v>924</v>
      </c>
      <c r="C16" s="562" t="s">
        <v>313</v>
      </c>
      <c r="D16" s="75">
        <v>8310.402</v>
      </c>
      <c r="E16" s="75"/>
      <c r="F16" s="75">
        <f t="shared" si="2"/>
        <v>8310.402</v>
      </c>
      <c r="G16" s="76"/>
      <c r="H16" s="76"/>
      <c r="I16" s="77"/>
      <c r="J16" s="75">
        <f t="shared" si="3"/>
        <v>8310.402</v>
      </c>
      <c r="K16" s="73" t="s">
        <v>314</v>
      </c>
      <c r="L16" s="533">
        <f t="shared" si="1"/>
        <v>5</v>
      </c>
      <c r="N16" s="565"/>
    </row>
    <row r="17" spans="1:14" ht="19.5" x14ac:dyDescent="0.25">
      <c r="A17" s="533">
        <f t="shared" si="0"/>
        <v>6</v>
      </c>
      <c r="B17" s="541">
        <v>925</v>
      </c>
      <c r="C17" s="562" t="s">
        <v>315</v>
      </c>
      <c r="D17" s="75">
        <v>181130.33900000001</v>
      </c>
      <c r="E17" s="75">
        <f>E50</f>
        <v>1105.1051231060101</v>
      </c>
      <c r="F17" s="75">
        <f t="shared" si="2"/>
        <v>180025.233876894</v>
      </c>
      <c r="G17" s="25" t="s">
        <v>31</v>
      </c>
      <c r="H17" s="76">
        <v>-130.33199999999999</v>
      </c>
      <c r="I17" s="563">
        <v>5</v>
      </c>
      <c r="J17" s="662">
        <f>F17+H17</f>
        <v>179894.901876894</v>
      </c>
      <c r="K17" s="73" t="s">
        <v>316</v>
      </c>
      <c r="L17" s="533">
        <f t="shared" si="1"/>
        <v>6</v>
      </c>
      <c r="N17" s="565"/>
    </row>
    <row r="18" spans="1:14" ht="19.5" x14ac:dyDescent="0.25">
      <c r="A18" s="533">
        <f t="shared" si="0"/>
        <v>7</v>
      </c>
      <c r="B18" s="555">
        <v>926</v>
      </c>
      <c r="C18" s="562" t="s">
        <v>317</v>
      </c>
      <c r="D18" s="75">
        <v>62304.38</v>
      </c>
      <c r="E18" s="75">
        <f>E53</f>
        <v>2589.589301958019</v>
      </c>
      <c r="F18" s="75">
        <f t="shared" si="2"/>
        <v>59714.790698041979</v>
      </c>
      <c r="G18" s="25"/>
      <c r="H18" s="76"/>
      <c r="I18" s="563"/>
      <c r="J18" s="75">
        <f t="shared" ref="J18:J24" si="4">F18+H18</f>
        <v>59714.790698041979</v>
      </c>
      <c r="K18" s="73" t="s">
        <v>318</v>
      </c>
      <c r="L18" s="533">
        <f t="shared" si="1"/>
        <v>7</v>
      </c>
      <c r="N18" s="567"/>
    </row>
    <row r="19" spans="1:14" x14ac:dyDescent="0.25">
      <c r="A19" s="533">
        <f t="shared" si="0"/>
        <v>8</v>
      </c>
      <c r="B19" s="555">
        <v>927</v>
      </c>
      <c r="C19" s="562" t="s">
        <v>319</v>
      </c>
      <c r="D19" s="75">
        <v>130506.765</v>
      </c>
      <c r="E19" s="75">
        <f>E54</f>
        <v>130506.76528000001</v>
      </c>
      <c r="F19" s="75">
        <f t="shared" si="2"/>
        <v>-2.8000000747852027E-4</v>
      </c>
      <c r="G19" s="76"/>
      <c r="H19" s="76"/>
      <c r="I19" s="77"/>
      <c r="J19" s="75">
        <f t="shared" si="4"/>
        <v>-2.8000000747852027E-4</v>
      </c>
      <c r="K19" s="73" t="s">
        <v>320</v>
      </c>
      <c r="L19" s="533">
        <f t="shared" si="1"/>
        <v>8</v>
      </c>
      <c r="N19" s="567"/>
    </row>
    <row r="20" spans="1:14" x14ac:dyDescent="0.25">
      <c r="A20" s="533">
        <f t="shared" si="0"/>
        <v>9</v>
      </c>
      <c r="B20" s="555">
        <v>928</v>
      </c>
      <c r="C20" s="562" t="s">
        <v>321</v>
      </c>
      <c r="D20" s="75">
        <v>27995.793000000001</v>
      </c>
      <c r="E20" s="75">
        <f>E60</f>
        <v>16572.369439999999</v>
      </c>
      <c r="F20" s="75">
        <f t="shared" si="2"/>
        <v>11423.423560000003</v>
      </c>
      <c r="G20" s="76"/>
      <c r="H20" s="76"/>
      <c r="I20" s="77"/>
      <c r="J20" s="75">
        <f t="shared" si="4"/>
        <v>11423.423560000003</v>
      </c>
      <c r="K20" s="73" t="s">
        <v>322</v>
      </c>
      <c r="L20" s="533">
        <f t="shared" si="1"/>
        <v>9</v>
      </c>
      <c r="N20" s="567"/>
    </row>
    <row r="21" spans="1:14" x14ac:dyDescent="0.25">
      <c r="A21" s="533">
        <f t="shared" si="0"/>
        <v>10</v>
      </c>
      <c r="B21" s="555">
        <v>929</v>
      </c>
      <c r="C21" s="562" t="s">
        <v>323</v>
      </c>
      <c r="D21" s="75">
        <v>-2772.7849999999999</v>
      </c>
      <c r="E21" s="75"/>
      <c r="F21" s="75">
        <f t="shared" si="2"/>
        <v>-2772.7849999999999</v>
      </c>
      <c r="G21" s="76"/>
      <c r="H21" s="76"/>
      <c r="I21" s="77"/>
      <c r="J21" s="75">
        <f t="shared" si="4"/>
        <v>-2772.7849999999999</v>
      </c>
      <c r="K21" s="73" t="s">
        <v>324</v>
      </c>
      <c r="L21" s="533">
        <f t="shared" si="1"/>
        <v>10</v>
      </c>
      <c r="N21" s="565"/>
    </row>
    <row r="22" spans="1:14" ht="19.5" x14ac:dyDescent="0.25">
      <c r="A22" s="533">
        <f t="shared" si="0"/>
        <v>11</v>
      </c>
      <c r="B22" s="569">
        <v>930.1</v>
      </c>
      <c r="C22" s="562" t="s">
        <v>325</v>
      </c>
      <c r="D22" s="75">
        <v>-204.155</v>
      </c>
      <c r="E22" s="75">
        <f>E61</f>
        <v>-204.155</v>
      </c>
      <c r="F22" s="75">
        <f t="shared" si="2"/>
        <v>0</v>
      </c>
      <c r="G22" s="76"/>
      <c r="H22" s="76"/>
      <c r="I22" s="563"/>
      <c r="J22" s="75">
        <f t="shared" si="4"/>
        <v>0</v>
      </c>
      <c r="K22" s="73" t="s">
        <v>326</v>
      </c>
      <c r="L22" s="533">
        <f t="shared" si="1"/>
        <v>11</v>
      </c>
      <c r="N22" s="565"/>
    </row>
    <row r="23" spans="1:14" ht="19.5" x14ac:dyDescent="0.25">
      <c r="A23" s="533">
        <f t="shared" si="0"/>
        <v>12</v>
      </c>
      <c r="B23" s="681">
        <v>930.2</v>
      </c>
      <c r="C23" s="562" t="s">
        <v>327</v>
      </c>
      <c r="D23" s="75">
        <v>2511.0549999999998</v>
      </c>
      <c r="E23" s="75">
        <f>E64</f>
        <v>217.58000000000015</v>
      </c>
      <c r="F23" s="75">
        <f t="shared" si="2"/>
        <v>2293.4749999999995</v>
      </c>
      <c r="G23" s="25" t="s">
        <v>31</v>
      </c>
      <c r="H23" s="76">
        <v>40</v>
      </c>
      <c r="I23" s="563">
        <v>6</v>
      </c>
      <c r="J23" s="662">
        <f t="shared" si="4"/>
        <v>2333.4749999999995</v>
      </c>
      <c r="K23" s="73" t="s">
        <v>328</v>
      </c>
      <c r="L23" s="533">
        <f t="shared" si="1"/>
        <v>12</v>
      </c>
      <c r="N23" s="570"/>
    </row>
    <row r="24" spans="1:14" x14ac:dyDescent="0.25">
      <c r="A24" s="533">
        <f t="shared" si="0"/>
        <v>13</v>
      </c>
      <c r="B24" s="555">
        <v>931</v>
      </c>
      <c r="C24" s="562" t="s">
        <v>329</v>
      </c>
      <c r="D24" s="75">
        <v>10939.305</v>
      </c>
      <c r="E24" s="75"/>
      <c r="F24" s="75">
        <f t="shared" si="2"/>
        <v>10939.305</v>
      </c>
      <c r="G24" s="76"/>
      <c r="H24" s="76"/>
      <c r="I24" s="77"/>
      <c r="J24" s="75">
        <f t="shared" si="4"/>
        <v>10939.305</v>
      </c>
      <c r="K24" s="73" t="s">
        <v>330</v>
      </c>
      <c r="L24" s="533">
        <f t="shared" si="1"/>
        <v>13</v>
      </c>
      <c r="N24" s="565"/>
    </row>
    <row r="25" spans="1:14" x14ac:dyDescent="0.25">
      <c r="A25" s="533">
        <f t="shared" si="0"/>
        <v>14</v>
      </c>
      <c r="B25" s="555">
        <v>935</v>
      </c>
      <c r="C25" s="562" t="s">
        <v>331</v>
      </c>
      <c r="D25" s="474">
        <v>9293.2980000000007</v>
      </c>
      <c r="E25" s="474">
        <f>E66</f>
        <v>-1915.2449610859999</v>
      </c>
      <c r="F25" s="474">
        <f>D25-E25</f>
        <v>11208.542961086001</v>
      </c>
      <c r="G25" s="682"/>
      <c r="H25" s="684"/>
      <c r="I25" s="687"/>
      <c r="J25" s="474">
        <f>F25+H25</f>
        <v>11208.542961086001</v>
      </c>
      <c r="K25" s="73" t="s">
        <v>332</v>
      </c>
      <c r="L25" s="533">
        <f t="shared" si="1"/>
        <v>14</v>
      </c>
      <c r="M25" s="534" t="s">
        <v>228</v>
      </c>
      <c r="N25" s="565"/>
    </row>
    <row r="26" spans="1:14" x14ac:dyDescent="0.25">
      <c r="A26" s="533">
        <f t="shared" si="0"/>
        <v>15</v>
      </c>
      <c r="B26" s="555"/>
      <c r="D26" s="571"/>
      <c r="E26" s="571"/>
      <c r="F26" s="571"/>
      <c r="I26" s="568"/>
      <c r="J26" s="571"/>
      <c r="K26" s="572"/>
      <c r="L26" s="533">
        <f t="shared" si="1"/>
        <v>15</v>
      </c>
    </row>
    <row r="27" spans="1:14" ht="16.5" thickBot="1" x14ac:dyDescent="0.3">
      <c r="A27" s="533">
        <f t="shared" si="0"/>
        <v>16</v>
      </c>
      <c r="B27" s="555"/>
      <c r="C27" s="542" t="s">
        <v>333</v>
      </c>
      <c r="D27" s="573">
        <f>SUM(D12:D25)</f>
        <v>594949.38299999991</v>
      </c>
      <c r="E27" s="80">
        <f>SUM(E12:E25)</f>
        <v>171935.58274067604</v>
      </c>
      <c r="F27" s="80">
        <f>SUM(F12:F25)</f>
        <v>423013.80025932402</v>
      </c>
      <c r="G27" s="81" t="s">
        <v>31</v>
      </c>
      <c r="H27" s="574">
        <f>SUM(H12:H25)</f>
        <v>-90.331999999999994</v>
      </c>
      <c r="I27" s="82"/>
      <c r="J27" s="80">
        <f>SUM(J12:J25)</f>
        <v>422923.46825932397</v>
      </c>
      <c r="K27" s="85" t="str">
        <f>"Sum Lines "&amp;A12&amp;" thru "&amp;A25</f>
        <v>Sum Lines 1 thru 14</v>
      </c>
      <c r="L27" s="533">
        <f t="shared" si="1"/>
        <v>16</v>
      </c>
    </row>
    <row r="28" spans="1:14" ht="16.5" thickTop="1" x14ac:dyDescent="0.25">
      <c r="A28" s="533">
        <f t="shared" si="0"/>
        <v>17</v>
      </c>
      <c r="B28" s="555"/>
      <c r="C28" s="542"/>
      <c r="D28" s="575"/>
      <c r="E28" s="564"/>
      <c r="F28" s="79"/>
      <c r="G28" s="78"/>
      <c r="H28" s="78"/>
      <c r="I28" s="564"/>
      <c r="J28" s="79"/>
      <c r="K28" s="85"/>
      <c r="L28" s="533">
        <f t="shared" si="1"/>
        <v>17</v>
      </c>
    </row>
    <row r="29" spans="1:14" ht="18.75" x14ac:dyDescent="0.25">
      <c r="A29" s="533">
        <f t="shared" si="0"/>
        <v>18</v>
      </c>
      <c r="B29" s="555">
        <v>413</v>
      </c>
      <c r="C29" s="534" t="s">
        <v>334</v>
      </c>
      <c r="D29" s="474">
        <v>534.27995999999996</v>
      </c>
      <c r="E29" s="687">
        <v>0</v>
      </c>
      <c r="F29" s="474">
        <f>D29-E29</f>
        <v>534.27995999999996</v>
      </c>
      <c r="G29" s="682"/>
      <c r="H29" s="684"/>
      <c r="I29" s="687"/>
      <c r="J29" s="474">
        <f>F29+H29</f>
        <v>534.27995999999996</v>
      </c>
      <c r="K29" s="85"/>
      <c r="L29" s="533">
        <f t="shared" si="1"/>
        <v>18</v>
      </c>
    </row>
    <row r="30" spans="1:14" x14ac:dyDescent="0.25">
      <c r="A30" s="533">
        <f t="shared" si="0"/>
        <v>19</v>
      </c>
      <c r="B30" s="555"/>
      <c r="C30" s="542"/>
      <c r="D30" s="575"/>
      <c r="E30" s="564"/>
      <c r="F30" s="79"/>
      <c r="G30" s="78"/>
      <c r="H30" s="78"/>
      <c r="I30" s="564"/>
      <c r="J30" s="79"/>
      <c r="K30" s="85"/>
      <c r="L30" s="533">
        <f t="shared" si="1"/>
        <v>19</v>
      </c>
    </row>
    <row r="31" spans="1:14" ht="16.5" thickBot="1" x14ac:dyDescent="0.3">
      <c r="A31" s="533">
        <f t="shared" si="0"/>
        <v>20</v>
      </c>
      <c r="B31" s="555"/>
      <c r="C31" s="542" t="s">
        <v>335</v>
      </c>
      <c r="D31" s="573">
        <f>D27+D29</f>
        <v>595483.66295999987</v>
      </c>
      <c r="E31" s="564">
        <f>E27+E29</f>
        <v>171935.58274067604</v>
      </c>
      <c r="F31" s="79">
        <f>F27+F29</f>
        <v>423548.08021932404</v>
      </c>
      <c r="G31" s="81" t="s">
        <v>31</v>
      </c>
      <c r="H31" s="574">
        <f>H27+H29</f>
        <v>-90.331999999999994</v>
      </c>
      <c r="I31" s="82"/>
      <c r="J31" s="80">
        <f>J27+J29</f>
        <v>423457.74821932398</v>
      </c>
      <c r="K31" s="85" t="str">
        <f>"Line "&amp;A27&amp;" + Line "&amp;A29</f>
        <v>Line 16 + Line 18</v>
      </c>
      <c r="L31" s="533">
        <f t="shared" si="1"/>
        <v>20</v>
      </c>
    </row>
    <row r="32" spans="1:14" ht="17.25" thickTop="1" thickBot="1" x14ac:dyDescent="0.3">
      <c r="A32" s="533">
        <f t="shared" si="0"/>
        <v>21</v>
      </c>
      <c r="B32" s="576"/>
      <c r="C32" s="535"/>
      <c r="D32" s="577"/>
      <c r="E32" s="578"/>
      <c r="F32" s="578"/>
      <c r="G32" s="551"/>
      <c r="H32" s="551"/>
      <c r="I32" s="552"/>
      <c r="J32" s="647"/>
      <c r="K32" s="579"/>
      <c r="L32" s="533">
        <f t="shared" si="1"/>
        <v>21</v>
      </c>
    </row>
    <row r="33" spans="1:14" x14ac:dyDescent="0.25">
      <c r="A33" s="533">
        <f t="shared" si="0"/>
        <v>22</v>
      </c>
      <c r="B33" s="580"/>
      <c r="D33" s="581"/>
      <c r="E33" s="582"/>
      <c r="F33" s="581"/>
      <c r="G33" s="581"/>
      <c r="H33" s="581"/>
      <c r="I33" s="581"/>
      <c r="J33" s="581"/>
      <c r="K33" s="572"/>
      <c r="L33" s="533">
        <f t="shared" si="1"/>
        <v>22</v>
      </c>
    </row>
    <row r="34" spans="1:14" x14ac:dyDescent="0.25">
      <c r="A34" s="533">
        <f t="shared" si="0"/>
        <v>23</v>
      </c>
      <c r="B34" s="583" t="s">
        <v>336</v>
      </c>
      <c r="C34" s="533"/>
      <c r="D34" s="533"/>
      <c r="E34" s="533"/>
      <c r="F34" s="533"/>
      <c r="G34" s="533"/>
      <c r="H34" s="533"/>
      <c r="I34" s="533"/>
      <c r="J34" s="533"/>
      <c r="K34" s="572"/>
      <c r="L34" s="533">
        <f t="shared" si="1"/>
        <v>23</v>
      </c>
    </row>
    <row r="35" spans="1:14" x14ac:dyDescent="0.25">
      <c r="A35" s="533">
        <f t="shared" si="0"/>
        <v>24</v>
      </c>
      <c r="B35" s="584">
        <v>920</v>
      </c>
      <c r="C35" s="19" t="s">
        <v>337</v>
      </c>
      <c r="D35" s="30">
        <v>37.830849999999998</v>
      </c>
      <c r="F35" s="533"/>
      <c r="G35" s="533"/>
      <c r="H35" s="533"/>
      <c r="I35" s="533"/>
      <c r="J35" s="533"/>
      <c r="K35" s="572"/>
      <c r="L35" s="533">
        <f t="shared" si="1"/>
        <v>24</v>
      </c>
    </row>
    <row r="36" spans="1:14" x14ac:dyDescent="0.25">
      <c r="A36" s="533">
        <f t="shared" si="0"/>
        <v>25</v>
      </c>
      <c r="B36" s="584"/>
      <c r="C36" s="19" t="s">
        <v>338</v>
      </c>
      <c r="D36" s="648">
        <v>873.61009352399992</v>
      </c>
      <c r="E36" s="30"/>
      <c r="F36" s="533"/>
      <c r="G36" s="533"/>
      <c r="H36" s="533"/>
      <c r="I36" s="533"/>
      <c r="J36" s="533"/>
      <c r="K36" s="572"/>
      <c r="L36" s="533">
        <f t="shared" si="1"/>
        <v>25</v>
      </c>
    </row>
    <row r="37" spans="1:14" x14ac:dyDescent="0.25">
      <c r="A37" s="533">
        <f t="shared" si="0"/>
        <v>26</v>
      </c>
      <c r="B37" s="584"/>
      <c r="C37" s="19" t="s">
        <v>339</v>
      </c>
      <c r="D37" s="688">
        <v>56.642625899999999</v>
      </c>
      <c r="E37" s="30">
        <f>SUM(D35:D37)</f>
        <v>968.08356942399996</v>
      </c>
      <c r="K37" s="572"/>
      <c r="L37" s="533">
        <f t="shared" si="1"/>
        <v>26</v>
      </c>
      <c r="N37" s="562"/>
    </row>
    <row r="38" spans="1:14" x14ac:dyDescent="0.25">
      <c r="A38" s="533">
        <f t="shared" si="0"/>
        <v>27</v>
      </c>
      <c r="B38" s="584">
        <v>921</v>
      </c>
      <c r="C38" s="19" t="s">
        <v>337</v>
      </c>
      <c r="D38" s="534">
        <v>-9.620999999999999E-2</v>
      </c>
      <c r="H38" s="659"/>
      <c r="K38" s="572"/>
      <c r="L38" s="533">
        <f t="shared" si="1"/>
        <v>27</v>
      </c>
      <c r="N38" s="562"/>
    </row>
    <row r="39" spans="1:14" x14ac:dyDescent="0.25">
      <c r="A39" s="533">
        <f t="shared" si="0"/>
        <v>28</v>
      </c>
      <c r="B39" s="584"/>
      <c r="C39" s="19" t="s">
        <v>338</v>
      </c>
      <c r="D39" s="648">
        <v>8254.9592088600002</v>
      </c>
      <c r="K39" s="572"/>
      <c r="L39" s="533">
        <f t="shared" si="1"/>
        <v>28</v>
      </c>
    </row>
    <row r="40" spans="1:14" x14ac:dyDescent="0.25">
      <c r="A40" s="533">
        <f t="shared" si="0"/>
        <v>29</v>
      </c>
      <c r="B40" s="584"/>
      <c r="C40" s="19" t="s">
        <v>339</v>
      </c>
      <c r="D40" s="688">
        <v>1120.1507429919998</v>
      </c>
      <c r="E40" s="534">
        <f>SUM(D38:D40)</f>
        <v>9375.0137418520007</v>
      </c>
      <c r="K40" s="572"/>
      <c r="L40" s="533">
        <f t="shared" si="1"/>
        <v>29</v>
      </c>
    </row>
    <row r="41" spans="1:14" x14ac:dyDescent="0.25">
      <c r="A41" s="533">
        <f t="shared" si="0"/>
        <v>30</v>
      </c>
      <c r="B41" s="584">
        <v>922</v>
      </c>
      <c r="C41" s="19" t="s">
        <v>339</v>
      </c>
      <c r="D41" s="648"/>
      <c r="E41" s="534">
        <v>-125.07091</v>
      </c>
      <c r="K41" s="572"/>
      <c r="L41" s="533">
        <f t="shared" si="1"/>
        <v>30</v>
      </c>
    </row>
    <row r="42" spans="1:14" x14ac:dyDescent="0.25">
      <c r="A42" s="533">
        <f t="shared" si="0"/>
        <v>31</v>
      </c>
      <c r="B42" s="584">
        <v>923</v>
      </c>
      <c r="C42" s="19" t="s">
        <v>337</v>
      </c>
      <c r="D42" s="28">
        <v>-17.988400000000002</v>
      </c>
      <c r="E42" s="28"/>
      <c r="K42" s="572"/>
      <c r="L42" s="533">
        <f t="shared" si="1"/>
        <v>31</v>
      </c>
    </row>
    <row r="43" spans="1:14" x14ac:dyDescent="0.25">
      <c r="A43" s="533">
        <f t="shared" si="0"/>
        <v>32</v>
      </c>
      <c r="B43" s="584"/>
      <c r="C43" s="19" t="s">
        <v>338</v>
      </c>
      <c r="D43" s="28">
        <v>2086.0140693979997</v>
      </c>
      <c r="E43" s="28"/>
      <c r="K43" s="572"/>
      <c r="L43" s="533">
        <f t="shared" si="1"/>
        <v>32</v>
      </c>
    </row>
    <row r="44" spans="1:14" x14ac:dyDescent="0.25">
      <c r="A44" s="533">
        <f t="shared" si="0"/>
        <v>33</v>
      </c>
      <c r="B44" s="584"/>
      <c r="C44" s="19" t="s">
        <v>339</v>
      </c>
      <c r="D44" s="28">
        <v>80.426986024000001</v>
      </c>
      <c r="K44" s="572"/>
      <c r="L44" s="533">
        <f t="shared" si="1"/>
        <v>33</v>
      </c>
    </row>
    <row r="45" spans="1:14" ht="18.75" x14ac:dyDescent="0.25">
      <c r="A45" s="533">
        <f t="shared" si="0"/>
        <v>34</v>
      </c>
      <c r="B45" s="584"/>
      <c r="C45" s="37" t="s">
        <v>340</v>
      </c>
      <c r="D45" s="76">
        <v>3185.4904999999999</v>
      </c>
      <c r="E45" s="28"/>
      <c r="K45" s="572"/>
      <c r="L45" s="533">
        <f t="shared" si="1"/>
        <v>34</v>
      </c>
    </row>
    <row r="46" spans="1:14" ht="18.75" x14ac:dyDescent="0.25">
      <c r="A46" s="533">
        <f t="shared" si="0"/>
        <v>35</v>
      </c>
      <c r="B46" s="584"/>
      <c r="C46" s="37" t="s">
        <v>341</v>
      </c>
      <c r="D46" s="76">
        <v>6031</v>
      </c>
      <c r="E46" s="28"/>
      <c r="K46" s="572"/>
      <c r="L46" s="533">
        <f t="shared" si="1"/>
        <v>35</v>
      </c>
    </row>
    <row r="47" spans="1:14" ht="18.75" x14ac:dyDescent="0.25">
      <c r="A47" s="533">
        <f t="shared" si="0"/>
        <v>36</v>
      </c>
      <c r="B47" s="584"/>
      <c r="C47" s="37" t="s">
        <v>342</v>
      </c>
      <c r="D47" s="684">
        <v>1480.604</v>
      </c>
      <c r="E47" s="28">
        <f>SUM(D42:D47)</f>
        <v>12845.547155421998</v>
      </c>
      <c r="K47" s="572"/>
      <c r="L47" s="533">
        <f t="shared" si="1"/>
        <v>36</v>
      </c>
    </row>
    <row r="48" spans="1:14" x14ac:dyDescent="0.25">
      <c r="A48" s="533">
        <f t="shared" si="0"/>
        <v>37</v>
      </c>
      <c r="B48" s="584">
        <v>925</v>
      </c>
      <c r="C48" s="19" t="s">
        <v>337</v>
      </c>
      <c r="D48" s="28">
        <v>277.64044235400002</v>
      </c>
      <c r="F48" s="587"/>
      <c r="G48" s="587"/>
      <c r="H48" s="587"/>
      <c r="I48" s="587"/>
      <c r="J48" s="587"/>
      <c r="K48" s="588"/>
      <c r="L48" s="533">
        <f t="shared" si="1"/>
        <v>37</v>
      </c>
    </row>
    <row r="49" spans="1:12" x14ac:dyDescent="0.25">
      <c r="A49" s="533">
        <f t="shared" si="0"/>
        <v>38</v>
      </c>
      <c r="B49" s="584"/>
      <c r="C49" s="19" t="s">
        <v>339</v>
      </c>
      <c r="D49" s="28">
        <v>746.9557907520101</v>
      </c>
      <c r="K49" s="572"/>
      <c r="L49" s="533">
        <f t="shared" si="1"/>
        <v>38</v>
      </c>
    </row>
    <row r="50" spans="1:12" x14ac:dyDescent="0.25">
      <c r="A50" s="533">
        <f t="shared" si="0"/>
        <v>39</v>
      </c>
      <c r="B50" s="584"/>
      <c r="C50" s="586" t="s">
        <v>343</v>
      </c>
      <c r="D50" s="689">
        <v>80.508890000000008</v>
      </c>
      <c r="E50" s="534">
        <f>SUM(D48:D50)</f>
        <v>1105.1051231060101</v>
      </c>
      <c r="K50" s="572"/>
      <c r="L50" s="533">
        <f t="shared" si="1"/>
        <v>39</v>
      </c>
    </row>
    <row r="51" spans="1:12" x14ac:dyDescent="0.25">
      <c r="A51" s="533">
        <f t="shared" si="0"/>
        <v>40</v>
      </c>
      <c r="B51" s="584">
        <v>926</v>
      </c>
      <c r="C51" s="586" t="s">
        <v>337</v>
      </c>
      <c r="D51" s="28">
        <v>646.29282690599985</v>
      </c>
      <c r="F51" s="587"/>
      <c r="G51" s="587"/>
      <c r="H51" s="587"/>
      <c r="I51" s="587"/>
      <c r="J51" s="587"/>
      <c r="K51" s="588"/>
      <c r="L51" s="533">
        <f t="shared" si="1"/>
        <v>40</v>
      </c>
    </row>
    <row r="52" spans="1:12" x14ac:dyDescent="0.25">
      <c r="A52" s="533">
        <f t="shared" si="0"/>
        <v>41</v>
      </c>
      <c r="B52" s="584"/>
      <c r="C52" s="586" t="s">
        <v>343</v>
      </c>
      <c r="D52" s="28">
        <v>190.64548000000002</v>
      </c>
      <c r="E52" s="28"/>
      <c r="K52" s="572"/>
      <c r="L52" s="533">
        <f t="shared" si="1"/>
        <v>41</v>
      </c>
    </row>
    <row r="53" spans="1:12" x14ac:dyDescent="0.25">
      <c r="A53" s="533">
        <f t="shared" si="0"/>
        <v>42</v>
      </c>
      <c r="B53" s="584"/>
      <c r="C53" s="19" t="s">
        <v>339</v>
      </c>
      <c r="D53" s="689">
        <v>1752.650995052019</v>
      </c>
      <c r="E53" s="534">
        <f>SUM(D51:D53)</f>
        <v>2589.589301958019</v>
      </c>
      <c r="K53" s="572"/>
      <c r="L53" s="533">
        <f t="shared" si="1"/>
        <v>42</v>
      </c>
    </row>
    <row r="54" spans="1:12" x14ac:dyDescent="0.25">
      <c r="A54" s="533">
        <f t="shared" si="0"/>
        <v>43</v>
      </c>
      <c r="B54" s="584">
        <v>927</v>
      </c>
      <c r="C54" s="586" t="s">
        <v>319</v>
      </c>
      <c r="D54" s="19"/>
      <c r="E54" s="28">
        <v>130506.76528000001</v>
      </c>
      <c r="K54" s="572"/>
      <c r="L54" s="533">
        <f t="shared" si="1"/>
        <v>43</v>
      </c>
    </row>
    <row r="55" spans="1:12" x14ac:dyDescent="0.25">
      <c r="A55" s="533">
        <f t="shared" si="0"/>
        <v>44</v>
      </c>
      <c r="B55" s="584">
        <v>928</v>
      </c>
      <c r="C55" s="19" t="s">
        <v>344</v>
      </c>
      <c r="D55" s="28">
        <v>13015.817289999999</v>
      </c>
      <c r="E55" s="28"/>
      <c r="K55" s="572"/>
      <c r="L55" s="533">
        <f t="shared" si="1"/>
        <v>44</v>
      </c>
    </row>
    <row r="56" spans="1:12" x14ac:dyDescent="0.25">
      <c r="A56" s="533">
        <f t="shared" si="0"/>
        <v>45</v>
      </c>
      <c r="B56" s="584"/>
      <c r="C56" s="586" t="s">
        <v>337</v>
      </c>
      <c r="D56" s="28">
        <v>428.3049200000001</v>
      </c>
      <c r="E56" s="28"/>
      <c r="F56" s="53"/>
      <c r="G56" s="53"/>
      <c r="H56" s="53"/>
      <c r="I56" s="53"/>
      <c r="J56" s="53"/>
      <c r="K56" s="572"/>
      <c r="L56" s="533">
        <f t="shared" si="1"/>
        <v>45</v>
      </c>
    </row>
    <row r="57" spans="1:12" x14ac:dyDescent="0.25">
      <c r="A57" s="533">
        <f t="shared" si="0"/>
        <v>46</v>
      </c>
      <c r="B57" s="584"/>
      <c r="C57" s="586" t="s">
        <v>345</v>
      </c>
      <c r="D57" s="650">
        <v>40.544630000000005</v>
      </c>
      <c r="E57" s="28"/>
      <c r="F57" s="53"/>
      <c r="G57" s="53"/>
      <c r="H57" s="53"/>
      <c r="I57" s="53"/>
      <c r="J57" s="53"/>
      <c r="K57" s="572"/>
      <c r="L57" s="533">
        <f t="shared" si="1"/>
        <v>46</v>
      </c>
    </row>
    <row r="58" spans="1:12" x14ac:dyDescent="0.25">
      <c r="A58" s="533">
        <f t="shared" si="0"/>
        <v>47</v>
      </c>
      <c r="B58" s="584"/>
      <c r="C58" s="19" t="s">
        <v>346</v>
      </c>
      <c r="D58" s="28">
        <v>0</v>
      </c>
      <c r="E58" s="28"/>
      <c r="F58" s="53"/>
      <c r="G58" s="53"/>
      <c r="H58" s="53"/>
      <c r="I58" s="53"/>
      <c r="J58" s="53"/>
      <c r="K58" s="572"/>
      <c r="L58" s="533">
        <f t="shared" si="1"/>
        <v>47</v>
      </c>
    </row>
    <row r="59" spans="1:12" x14ac:dyDescent="0.25">
      <c r="A59" s="533">
        <f t="shared" si="0"/>
        <v>48</v>
      </c>
      <c r="B59" s="584"/>
      <c r="C59" s="19" t="s">
        <v>347</v>
      </c>
      <c r="D59" s="28">
        <v>2085.1866</v>
      </c>
      <c r="F59" s="53"/>
      <c r="G59" s="53"/>
      <c r="H59" s="53"/>
      <c r="I59" s="53"/>
      <c r="J59" s="53"/>
      <c r="K59" s="572"/>
      <c r="L59" s="533">
        <f t="shared" si="1"/>
        <v>48</v>
      </c>
    </row>
    <row r="60" spans="1:12" ht="18.75" x14ac:dyDescent="0.25">
      <c r="A60" s="533">
        <f t="shared" si="0"/>
        <v>49</v>
      </c>
      <c r="B60" s="584"/>
      <c r="C60" s="37" t="s">
        <v>348</v>
      </c>
      <c r="D60" s="689">
        <v>1002.516</v>
      </c>
      <c r="E60" s="651">
        <f>SUM(D55:D60)</f>
        <v>16572.369439999999</v>
      </c>
      <c r="F60" s="53"/>
      <c r="G60" s="53"/>
      <c r="H60" s="53"/>
      <c r="I60" s="53"/>
      <c r="J60" s="53"/>
      <c r="K60" s="572"/>
      <c r="L60" s="533">
        <f t="shared" si="1"/>
        <v>49</v>
      </c>
    </row>
    <row r="61" spans="1:12" x14ac:dyDescent="0.25">
      <c r="A61" s="533">
        <f t="shared" si="0"/>
        <v>50</v>
      </c>
      <c r="B61" s="589">
        <v>930.1</v>
      </c>
      <c r="C61" s="19" t="s">
        <v>325</v>
      </c>
      <c r="D61" s="28"/>
      <c r="E61" s="28">
        <v>-204.155</v>
      </c>
      <c r="F61" s="53"/>
      <c r="G61" s="53"/>
      <c r="H61" s="53"/>
      <c r="I61" s="53"/>
      <c r="J61" s="53"/>
      <c r="K61" s="572"/>
      <c r="L61" s="533">
        <f t="shared" si="1"/>
        <v>50</v>
      </c>
    </row>
    <row r="62" spans="1:12" x14ac:dyDescent="0.25">
      <c r="A62" s="533">
        <f t="shared" si="0"/>
        <v>51</v>
      </c>
      <c r="B62" s="589">
        <v>930.2</v>
      </c>
      <c r="C62" s="586" t="s">
        <v>349</v>
      </c>
      <c r="D62" s="590">
        <f>1342.92+1017.8</f>
        <v>2360.7200000000003</v>
      </c>
      <c r="F62" s="53"/>
      <c r="G62" s="53"/>
      <c r="H62" s="53"/>
      <c r="I62" s="53"/>
      <c r="J62" s="53"/>
      <c r="K62" s="572"/>
      <c r="L62" s="533">
        <f t="shared" si="1"/>
        <v>51</v>
      </c>
    </row>
    <row r="63" spans="1:12" ht="18.75" x14ac:dyDescent="0.25">
      <c r="A63" s="533">
        <f t="shared" si="0"/>
        <v>52</v>
      </c>
      <c r="B63" s="589"/>
      <c r="C63" s="586" t="s">
        <v>350</v>
      </c>
      <c r="D63" s="590">
        <v>-690.76700000000005</v>
      </c>
      <c r="F63" s="53"/>
      <c r="G63" s="53"/>
      <c r="H63" s="53"/>
      <c r="I63" s="53"/>
      <c r="J63" s="53"/>
      <c r="K63" s="572"/>
      <c r="L63" s="533">
        <f t="shared" si="1"/>
        <v>52</v>
      </c>
    </row>
    <row r="64" spans="1:12" ht="18.75" x14ac:dyDescent="0.25">
      <c r="A64" s="533">
        <f t="shared" si="0"/>
        <v>53</v>
      </c>
      <c r="B64" s="589"/>
      <c r="C64" s="586" t="s">
        <v>351</v>
      </c>
      <c r="D64" s="684">
        <v>-1452.373</v>
      </c>
      <c r="E64" s="590">
        <f>SUM(D62:D64)</f>
        <v>217.58000000000015</v>
      </c>
      <c r="F64" s="53"/>
      <c r="G64" s="53"/>
      <c r="H64" s="53"/>
      <c r="I64" s="53"/>
      <c r="J64" s="53"/>
      <c r="K64" s="572"/>
      <c r="L64" s="533">
        <f t="shared" si="1"/>
        <v>53</v>
      </c>
    </row>
    <row r="65" spans="1:12" x14ac:dyDescent="0.25">
      <c r="A65" s="533">
        <f t="shared" si="0"/>
        <v>54</v>
      </c>
      <c r="B65" s="652">
        <v>935</v>
      </c>
      <c r="C65" s="586" t="s">
        <v>352</v>
      </c>
      <c r="D65" s="590">
        <f>-207.87024-1719.52219</f>
        <v>-1927.3924299999999</v>
      </c>
      <c r="E65" s="591"/>
      <c r="F65" s="53"/>
      <c r="G65" s="53"/>
      <c r="H65" s="53"/>
      <c r="I65" s="53"/>
      <c r="J65" s="53"/>
      <c r="K65" s="572"/>
      <c r="L65" s="533">
        <f t="shared" si="1"/>
        <v>54</v>
      </c>
    </row>
    <row r="66" spans="1:12" x14ac:dyDescent="0.25">
      <c r="A66" s="533">
        <f t="shared" si="0"/>
        <v>55</v>
      </c>
      <c r="B66" s="584"/>
      <c r="C66" s="593" t="s">
        <v>353</v>
      </c>
      <c r="D66" s="690">
        <v>12.147468914000001</v>
      </c>
      <c r="E66" s="690">
        <f>SUM(D65:D66)</f>
        <v>-1915.2449610859999</v>
      </c>
      <c r="F66" s="53"/>
      <c r="G66" s="53"/>
      <c r="H66" s="53"/>
      <c r="I66" s="53"/>
      <c r="J66" s="53"/>
      <c r="K66" s="572"/>
      <c r="L66" s="533">
        <f t="shared" si="1"/>
        <v>55</v>
      </c>
    </row>
    <row r="67" spans="1:12" x14ac:dyDescent="0.25">
      <c r="A67" s="533">
        <f t="shared" si="0"/>
        <v>56</v>
      </c>
      <c r="B67" s="594"/>
      <c r="C67" s="562"/>
      <c r="D67" s="595"/>
      <c r="E67" s="28"/>
      <c r="F67" s="53"/>
      <c r="G67" s="53"/>
      <c r="H67" s="53"/>
      <c r="I67" s="53"/>
      <c r="J67" s="53"/>
      <c r="K67" s="572"/>
      <c r="L67" s="533">
        <f t="shared" si="1"/>
        <v>56</v>
      </c>
    </row>
    <row r="68" spans="1:12" ht="16.5" thickBot="1" x14ac:dyDescent="0.3">
      <c r="A68" s="533">
        <f t="shared" si="0"/>
        <v>57</v>
      </c>
      <c r="B68" s="580"/>
      <c r="C68" s="596" t="s">
        <v>354</v>
      </c>
      <c r="D68" s="597"/>
      <c r="E68" s="20">
        <f>SUM(E35:E66)</f>
        <v>171935.58274067604</v>
      </c>
      <c r="F68" s="607"/>
      <c r="G68" s="607"/>
      <c r="H68" s="607"/>
      <c r="I68" s="607"/>
      <c r="J68" s="607"/>
      <c r="K68" s="572"/>
      <c r="L68" s="533">
        <f t="shared" si="1"/>
        <v>57</v>
      </c>
    </row>
    <row r="69" spans="1:12" ht="16.5" thickTop="1" x14ac:dyDescent="0.25">
      <c r="A69" s="533">
        <f t="shared" si="0"/>
        <v>58</v>
      </c>
      <c r="B69" s="580"/>
      <c r="C69" s="596"/>
      <c r="E69" s="598"/>
      <c r="F69" s="607"/>
      <c r="G69" s="607"/>
      <c r="H69" s="607"/>
      <c r="I69" s="607"/>
      <c r="J69" s="607"/>
      <c r="K69" s="572"/>
      <c r="L69" s="533">
        <f t="shared" si="1"/>
        <v>58</v>
      </c>
    </row>
    <row r="70" spans="1:12" x14ac:dyDescent="0.25">
      <c r="A70" s="533">
        <f t="shared" si="0"/>
        <v>59</v>
      </c>
      <c r="B70" s="66" t="s">
        <v>31</v>
      </c>
      <c r="C70" s="23" t="s">
        <v>55</v>
      </c>
      <c r="E70" s="598"/>
      <c r="F70" s="607"/>
      <c r="G70" s="607"/>
      <c r="H70" s="607"/>
      <c r="I70" s="607"/>
      <c r="J70" s="607"/>
      <c r="K70" s="572"/>
      <c r="L70" s="533">
        <f t="shared" si="1"/>
        <v>59</v>
      </c>
    </row>
    <row r="71" spans="1:12" ht="18.75" x14ac:dyDescent="0.25">
      <c r="A71" s="533">
        <f t="shared" si="0"/>
        <v>60</v>
      </c>
      <c r="B71" s="326">
        <v>1</v>
      </c>
      <c r="C71" s="325" t="s">
        <v>355</v>
      </c>
      <c r="E71" s="598"/>
      <c r="F71" s="607"/>
      <c r="G71" s="607"/>
      <c r="H71" s="607"/>
      <c r="I71" s="607"/>
      <c r="J71" s="607"/>
      <c r="K71" s="572"/>
      <c r="L71" s="533">
        <f t="shared" si="1"/>
        <v>60</v>
      </c>
    </row>
    <row r="72" spans="1:12" ht="18.75" x14ac:dyDescent="0.25">
      <c r="A72" s="533">
        <f t="shared" si="0"/>
        <v>61</v>
      </c>
      <c r="B72" s="599"/>
      <c r="C72" s="18" t="s">
        <v>356</v>
      </c>
      <c r="E72" s="598"/>
      <c r="F72" s="607"/>
      <c r="G72" s="607"/>
      <c r="H72" s="607"/>
      <c r="I72" s="607"/>
      <c r="J72" s="607"/>
      <c r="K72" s="572"/>
      <c r="L72" s="533">
        <f t="shared" si="1"/>
        <v>61</v>
      </c>
    </row>
    <row r="73" spans="1:12" ht="18.75" x14ac:dyDescent="0.25">
      <c r="A73" s="533">
        <f t="shared" si="0"/>
        <v>62</v>
      </c>
      <c r="B73" s="653" t="s">
        <v>357</v>
      </c>
      <c r="C73" s="37" t="s">
        <v>358</v>
      </c>
      <c r="E73" s="598"/>
      <c r="F73" s="607"/>
      <c r="G73" s="607"/>
      <c r="H73" s="607"/>
      <c r="I73" s="607"/>
      <c r="J73" s="607"/>
      <c r="K73" s="572"/>
      <c r="L73" s="533">
        <f t="shared" si="1"/>
        <v>62</v>
      </c>
    </row>
    <row r="74" spans="1:12" ht="18.75" x14ac:dyDescent="0.25">
      <c r="A74" s="533">
        <f t="shared" si="0"/>
        <v>63</v>
      </c>
      <c r="B74" s="653"/>
      <c r="C74" s="37" t="s">
        <v>359</v>
      </c>
      <c r="E74" s="598"/>
      <c r="F74" s="607"/>
      <c r="G74" s="607"/>
      <c r="H74" s="607"/>
      <c r="I74" s="607"/>
      <c r="J74" s="607"/>
      <c r="K74" s="572"/>
      <c r="L74" s="533">
        <f t="shared" si="1"/>
        <v>63</v>
      </c>
    </row>
    <row r="75" spans="1:12" ht="18.75" x14ac:dyDescent="0.25">
      <c r="A75" s="533">
        <f t="shared" si="0"/>
        <v>64</v>
      </c>
      <c r="B75" s="653" t="s">
        <v>360</v>
      </c>
      <c r="C75" s="37" t="s">
        <v>361</v>
      </c>
      <c r="E75" s="598"/>
      <c r="F75" s="607"/>
      <c r="G75" s="607"/>
      <c r="H75" s="607"/>
      <c r="I75" s="607"/>
      <c r="J75" s="607"/>
      <c r="K75" s="572"/>
      <c r="L75" s="533">
        <f t="shared" si="1"/>
        <v>64</v>
      </c>
    </row>
    <row r="76" spans="1:12" ht="18.75" x14ac:dyDescent="0.25">
      <c r="A76" s="533">
        <f t="shared" ref="A76:A83" si="5">A75+1</f>
        <v>65</v>
      </c>
      <c r="B76" s="653"/>
      <c r="C76" s="37" t="s">
        <v>362</v>
      </c>
      <c r="E76" s="598"/>
      <c r="F76" s="607"/>
      <c r="G76" s="607"/>
      <c r="H76" s="607"/>
      <c r="I76" s="607"/>
      <c r="J76" s="607"/>
      <c r="K76" s="572"/>
      <c r="L76" s="533">
        <f t="shared" ref="L76:L83" si="6">L75+1</f>
        <v>65</v>
      </c>
    </row>
    <row r="77" spans="1:12" ht="18.75" x14ac:dyDescent="0.25">
      <c r="A77" s="533">
        <f t="shared" si="5"/>
        <v>66</v>
      </c>
      <c r="B77" s="653"/>
      <c r="C77" s="37" t="s">
        <v>363</v>
      </c>
      <c r="E77" s="598"/>
      <c r="F77" s="607"/>
      <c r="G77" s="607"/>
      <c r="H77" s="607"/>
      <c r="I77" s="607"/>
      <c r="J77" s="607"/>
      <c r="K77" s="572"/>
      <c r="L77" s="533">
        <f t="shared" si="6"/>
        <v>66</v>
      </c>
    </row>
    <row r="78" spans="1:12" ht="18.75" x14ac:dyDescent="0.25">
      <c r="A78" s="533">
        <f t="shared" si="5"/>
        <v>67</v>
      </c>
      <c r="B78" s="653" t="s">
        <v>364</v>
      </c>
      <c r="C78" s="37" t="s">
        <v>365</v>
      </c>
      <c r="E78" s="598"/>
      <c r="F78" s="607"/>
      <c r="G78" s="607"/>
      <c r="H78" s="607"/>
      <c r="I78" s="607"/>
      <c r="J78" s="607"/>
      <c r="K78" s="572"/>
      <c r="L78" s="533">
        <f t="shared" si="6"/>
        <v>67</v>
      </c>
    </row>
    <row r="79" spans="1:12" ht="18.75" x14ac:dyDescent="0.25">
      <c r="A79" s="533">
        <f t="shared" si="5"/>
        <v>68</v>
      </c>
      <c r="B79" s="653"/>
      <c r="C79" s="37" t="s">
        <v>366</v>
      </c>
      <c r="E79" s="598"/>
      <c r="F79" s="607"/>
      <c r="G79" s="607"/>
      <c r="H79" s="607"/>
      <c r="I79" s="607"/>
      <c r="J79" s="607"/>
      <c r="K79" s="572"/>
      <c r="L79" s="533">
        <f t="shared" si="6"/>
        <v>68</v>
      </c>
    </row>
    <row r="80" spans="1:12" ht="18.75" x14ac:dyDescent="0.25">
      <c r="A80" s="533">
        <f t="shared" si="5"/>
        <v>69</v>
      </c>
      <c r="B80" s="654">
        <v>5</v>
      </c>
      <c r="C80" s="37" t="s">
        <v>367</v>
      </c>
      <c r="E80" s="598"/>
      <c r="F80" s="607"/>
      <c r="G80" s="607"/>
      <c r="H80" s="607"/>
      <c r="I80" s="607"/>
      <c r="J80" s="607"/>
      <c r="K80" s="572"/>
      <c r="L80" s="533">
        <f t="shared" si="6"/>
        <v>69</v>
      </c>
    </row>
    <row r="81" spans="1:12" ht="18.75" x14ac:dyDescent="0.25">
      <c r="A81" s="533">
        <f t="shared" si="5"/>
        <v>70</v>
      </c>
      <c r="B81" s="654">
        <v>6</v>
      </c>
      <c r="C81" s="37" t="s">
        <v>368</v>
      </c>
      <c r="E81" s="598"/>
      <c r="F81" s="607"/>
      <c r="G81" s="607"/>
      <c r="H81" s="607"/>
      <c r="I81" s="607"/>
      <c r="J81" s="607"/>
      <c r="K81" s="572"/>
      <c r="L81" s="533">
        <f t="shared" si="6"/>
        <v>70</v>
      </c>
    </row>
    <row r="82" spans="1:12" ht="18.75" x14ac:dyDescent="0.25">
      <c r="A82" s="533">
        <f t="shared" si="5"/>
        <v>71</v>
      </c>
      <c r="B82" s="654"/>
      <c r="C82" s="37"/>
      <c r="E82" s="598"/>
      <c r="F82" s="607"/>
      <c r="G82" s="607"/>
      <c r="H82" s="607"/>
      <c r="I82" s="607"/>
      <c r="J82" s="607"/>
      <c r="K82" s="572"/>
      <c r="L82" s="533">
        <f t="shared" si="6"/>
        <v>71</v>
      </c>
    </row>
    <row r="83" spans="1:12" ht="16.5" thickBot="1" x14ac:dyDescent="0.3">
      <c r="A83" s="533">
        <f t="shared" si="5"/>
        <v>72</v>
      </c>
      <c r="B83" s="600"/>
      <c r="C83" s="601"/>
      <c r="D83" s="535"/>
      <c r="E83" s="535"/>
      <c r="F83" s="535"/>
      <c r="G83" s="535"/>
      <c r="H83" s="535"/>
      <c r="I83" s="535"/>
      <c r="J83" s="535"/>
      <c r="K83" s="579"/>
      <c r="L83" s="533">
        <f t="shared" si="6"/>
        <v>72</v>
      </c>
    </row>
    <row r="84" spans="1:12" x14ac:dyDescent="0.25">
      <c r="C84" s="562"/>
    </row>
    <row r="85" spans="1:12" x14ac:dyDescent="0.25">
      <c r="A85" s="633"/>
      <c r="C85" s="562"/>
      <c r="D85" s="602"/>
      <c r="E85" s="602"/>
    </row>
    <row r="86" spans="1:12" ht="18.75" x14ac:dyDescent="0.25">
      <c r="A86" s="603"/>
      <c r="B86" s="327"/>
      <c r="C86" s="18"/>
      <c r="D86" s="163"/>
      <c r="E86" s="163"/>
      <c r="F86" s="163"/>
      <c r="G86" s="163"/>
      <c r="H86" s="163"/>
      <c r="I86" s="163"/>
      <c r="J86" s="163"/>
    </row>
    <row r="87" spans="1:12" ht="18.75" x14ac:dyDescent="0.25">
      <c r="A87" s="603"/>
      <c r="B87" s="327"/>
      <c r="C87" s="267"/>
      <c r="D87" s="163"/>
      <c r="E87" s="163"/>
      <c r="F87" s="163"/>
      <c r="G87" s="163"/>
      <c r="H87" s="163"/>
      <c r="I87" s="163"/>
      <c r="J87" s="163"/>
    </row>
    <row r="88" spans="1:12" ht="18.75" x14ac:dyDescent="0.25">
      <c r="A88" s="603"/>
      <c r="B88" s="36"/>
      <c r="C88" s="18"/>
      <c r="D88" s="18"/>
      <c r="E88" s="18"/>
      <c r="F88" s="18"/>
      <c r="G88" s="18"/>
      <c r="H88" s="18"/>
      <c r="I88" s="18"/>
      <c r="J88" s="18"/>
    </row>
    <row r="89" spans="1:12" ht="18.75" x14ac:dyDescent="0.25">
      <c r="A89" s="603"/>
      <c r="C89" s="562"/>
    </row>
    <row r="90" spans="1:12" ht="18.75" x14ac:dyDescent="0.25">
      <c r="A90" s="603"/>
      <c r="C90" s="562"/>
    </row>
    <row r="91" spans="1:12" ht="18.75" x14ac:dyDescent="0.25">
      <c r="A91" s="603"/>
      <c r="C91" s="562"/>
    </row>
    <row r="92" spans="1:12" x14ac:dyDescent="0.25">
      <c r="A92" s="633"/>
      <c r="C92" s="562"/>
    </row>
    <row r="93" spans="1:12" ht="18.75" x14ac:dyDescent="0.25">
      <c r="A93" s="603"/>
      <c r="C93" s="562"/>
    </row>
    <row r="94" spans="1:12" x14ac:dyDescent="0.25">
      <c r="A94" s="633"/>
      <c r="C94" s="562"/>
    </row>
    <row r="95" spans="1:12" ht="18.75" x14ac:dyDescent="0.25">
      <c r="A95" s="603"/>
      <c r="C95" s="562"/>
    </row>
    <row r="96" spans="1:12" x14ac:dyDescent="0.25">
      <c r="A96" s="633"/>
      <c r="C96" s="562"/>
    </row>
    <row r="97" spans="1:3" ht="18.75" x14ac:dyDescent="0.25">
      <c r="A97" s="603"/>
      <c r="C97" s="562"/>
    </row>
    <row r="98" spans="1:3" ht="18.75" x14ac:dyDescent="0.25">
      <c r="A98" s="603"/>
      <c r="B98" s="562"/>
    </row>
    <row r="99" spans="1:3" ht="18.75" x14ac:dyDescent="0.25">
      <c r="A99" s="603"/>
      <c r="B99" s="562"/>
    </row>
    <row r="100" spans="1:3" x14ac:dyDescent="0.25">
      <c r="B100" s="562"/>
    </row>
    <row r="101" spans="1:3" ht="18.75" x14ac:dyDescent="0.25">
      <c r="A101" s="603"/>
      <c r="B101" s="562"/>
    </row>
    <row r="102" spans="1:3" x14ac:dyDescent="0.25">
      <c r="A102" s="604"/>
      <c r="B102" s="605"/>
    </row>
    <row r="103" spans="1:3" x14ac:dyDescent="0.25">
      <c r="B103" s="562"/>
    </row>
  </sheetData>
  <mergeCells count="4"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47" orientation="portrait" r:id="rId1"/>
  <headerFooter scaleWithDoc="0" alignWithMargins="0">
    <oddHeader>&amp;C&amp;"Times New Roman,Bold"&amp;7AS FILED AH-3 WITH COST ADJ. INCL. IN APPENDIX X CYCLE 11 (ER23-109)</oddHeader>
    <oddFooter>&amp;L&amp;F&amp;CPage 8.3&amp;R&amp;A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J36"/>
  <sheetViews>
    <sheetView zoomScale="80" zoomScaleNormal="80" workbookViewId="0"/>
  </sheetViews>
  <sheetFormatPr defaultColWidth="8.85546875" defaultRowHeight="15.75" x14ac:dyDescent="0.25"/>
  <cols>
    <col min="1" max="1" width="5.140625" style="159" bestFit="1" customWidth="1"/>
    <col min="2" max="2" width="68.85546875" style="86" customWidth="1"/>
    <col min="3" max="3" width="24" style="87" customWidth="1"/>
    <col min="4" max="4" width="1.5703125" style="86" customWidth="1"/>
    <col min="5" max="5" width="16.85546875" style="86" customWidth="1"/>
    <col min="6" max="6" width="1.5703125" style="86" customWidth="1"/>
    <col min="7" max="7" width="16.85546875" style="86" customWidth="1"/>
    <col min="8" max="8" width="1.5703125" style="86" customWidth="1"/>
    <col min="9" max="9" width="36.140625" style="86" customWidth="1"/>
    <col min="10" max="10" width="5.140625" style="86" customWidth="1"/>
    <col min="11" max="16384" width="8.85546875" style="86"/>
  </cols>
  <sheetData>
    <row r="1" spans="1:10" x14ac:dyDescent="0.25">
      <c r="H1" s="159"/>
      <c r="I1" s="384"/>
      <c r="J1" s="159"/>
    </row>
    <row r="2" spans="1:10" x14ac:dyDescent="0.25">
      <c r="B2" s="815" t="s">
        <v>19</v>
      </c>
      <c r="C2" s="816"/>
      <c r="D2" s="816"/>
      <c r="E2" s="816"/>
      <c r="F2" s="816"/>
      <c r="G2" s="816"/>
      <c r="H2" s="816"/>
      <c r="I2" s="816"/>
      <c r="J2" s="158"/>
    </row>
    <row r="3" spans="1:10" x14ac:dyDescent="0.25">
      <c r="B3" s="815" t="s">
        <v>369</v>
      </c>
      <c r="C3" s="816"/>
      <c r="D3" s="816"/>
      <c r="E3" s="816"/>
      <c r="F3" s="816"/>
      <c r="G3" s="816"/>
      <c r="H3" s="816"/>
      <c r="I3" s="816"/>
      <c r="J3" s="158"/>
    </row>
    <row r="4" spans="1:10" x14ac:dyDescent="0.25">
      <c r="B4" s="815" t="s">
        <v>370</v>
      </c>
      <c r="C4" s="816"/>
      <c r="D4" s="816"/>
      <c r="E4" s="816"/>
      <c r="F4" s="816"/>
      <c r="G4" s="816"/>
      <c r="H4" s="816"/>
      <c r="I4" s="816"/>
      <c r="J4" s="158"/>
    </row>
    <row r="5" spans="1:10" x14ac:dyDescent="0.25">
      <c r="B5" s="817" t="s">
        <v>71</v>
      </c>
      <c r="C5" s="817"/>
      <c r="D5" s="817"/>
      <c r="E5" s="817"/>
      <c r="F5" s="817"/>
      <c r="G5" s="817"/>
      <c r="H5" s="817"/>
      <c r="I5" s="817"/>
      <c r="J5" s="158"/>
    </row>
    <row r="6" spans="1:10" x14ac:dyDescent="0.25">
      <c r="B6" s="818" t="s">
        <v>3</v>
      </c>
      <c r="C6" s="818"/>
      <c r="D6" s="818"/>
      <c r="E6" s="818"/>
      <c r="F6" s="818"/>
      <c r="G6" s="818"/>
      <c r="H6" s="818"/>
      <c r="I6" s="818"/>
      <c r="J6" s="88"/>
    </row>
    <row r="7" spans="1:10" x14ac:dyDescent="0.25">
      <c r="B7" s="159"/>
      <c r="D7" s="159"/>
      <c r="E7" s="159"/>
      <c r="F7" s="159"/>
      <c r="G7" s="159"/>
      <c r="H7" s="158"/>
      <c r="I7" s="158"/>
      <c r="J7" s="158"/>
    </row>
    <row r="8" spans="1:10" x14ac:dyDescent="0.25">
      <c r="A8" s="159" t="s">
        <v>4</v>
      </c>
      <c r="B8" s="158"/>
      <c r="C8" s="36" t="s">
        <v>194</v>
      </c>
      <c r="D8" s="159"/>
      <c r="E8" s="159" t="s">
        <v>371</v>
      </c>
      <c r="F8" s="159"/>
      <c r="G8" s="159" t="s">
        <v>372</v>
      </c>
      <c r="H8" s="158"/>
      <c r="I8" s="158"/>
      <c r="J8" s="159" t="s">
        <v>4</v>
      </c>
    </row>
    <row r="9" spans="1:10" x14ac:dyDescent="0.25">
      <c r="A9" s="159" t="s">
        <v>5</v>
      </c>
      <c r="B9" s="158"/>
      <c r="C9" s="313" t="s">
        <v>195</v>
      </c>
      <c r="D9" s="158"/>
      <c r="E9" s="328" t="s">
        <v>373</v>
      </c>
      <c r="F9" s="158"/>
      <c r="G9" s="328" t="s">
        <v>374</v>
      </c>
      <c r="H9" s="158"/>
      <c r="I9" s="329" t="s">
        <v>8</v>
      </c>
      <c r="J9" s="159" t="s">
        <v>5</v>
      </c>
    </row>
    <row r="10" spans="1:10" x14ac:dyDescent="0.25">
      <c r="B10" s="159"/>
      <c r="D10" s="159"/>
      <c r="E10" s="159"/>
      <c r="F10" s="159"/>
      <c r="G10" s="159"/>
      <c r="H10" s="159"/>
      <c r="I10" s="159"/>
      <c r="J10" s="159"/>
    </row>
    <row r="11" spans="1:10" ht="18.75" x14ac:dyDescent="0.25">
      <c r="A11" s="159">
        <v>1</v>
      </c>
      <c r="B11" s="86" t="s">
        <v>375</v>
      </c>
      <c r="C11" s="159" t="s">
        <v>376</v>
      </c>
      <c r="E11" s="330"/>
      <c r="F11" s="89"/>
      <c r="G11" s="287">
        <v>128758.20369230768</v>
      </c>
      <c r="H11" s="89"/>
      <c r="I11" s="61" t="s">
        <v>377</v>
      </c>
      <c r="J11" s="159">
        <f>A11</f>
        <v>1</v>
      </c>
    </row>
    <row r="12" spans="1:10" x14ac:dyDescent="0.25">
      <c r="A12" s="159">
        <f>+A11+1</f>
        <v>2</v>
      </c>
      <c r="C12" s="159"/>
      <c r="E12" s="90"/>
      <c r="F12" s="91"/>
      <c r="G12" s="91"/>
      <c r="H12" s="91"/>
      <c r="I12" s="61"/>
      <c r="J12" s="159">
        <f>+J11+1</f>
        <v>2</v>
      </c>
    </row>
    <row r="13" spans="1:10" x14ac:dyDescent="0.25">
      <c r="A13" s="159">
        <f t="shared" ref="A13:A29" si="0">+A12+1</f>
        <v>3</v>
      </c>
      <c r="B13" s="86" t="s">
        <v>378</v>
      </c>
      <c r="C13" s="159"/>
      <c r="E13" s="92"/>
      <c r="F13" s="93"/>
      <c r="G13" s="331">
        <v>0.39818377977044611</v>
      </c>
      <c r="H13" s="89"/>
      <c r="I13" s="61" t="s">
        <v>379</v>
      </c>
      <c r="J13" s="159">
        <f t="shared" ref="J13:J29" si="1">+J12+1</f>
        <v>3</v>
      </c>
    </row>
    <row r="14" spans="1:10" x14ac:dyDescent="0.25">
      <c r="A14" s="159">
        <f t="shared" si="0"/>
        <v>4</v>
      </c>
      <c r="C14" s="159"/>
      <c r="E14" s="90"/>
      <c r="F14" s="91"/>
      <c r="G14" s="90"/>
      <c r="H14" s="91"/>
      <c r="I14" s="61"/>
      <c r="J14" s="159">
        <f t="shared" si="1"/>
        <v>4</v>
      </c>
    </row>
    <row r="15" spans="1:10" ht="16.5" thickBot="1" x14ac:dyDescent="0.3">
      <c r="A15" s="159">
        <f t="shared" si="0"/>
        <v>5</v>
      </c>
      <c r="B15" s="86" t="s">
        <v>380</v>
      </c>
      <c r="C15" s="159"/>
      <c r="E15" s="332"/>
      <c r="F15" s="91"/>
      <c r="G15" s="333">
        <f>G11*G13</f>
        <v>51269.428222656083</v>
      </c>
      <c r="H15" s="89"/>
      <c r="I15" s="61" t="s">
        <v>381</v>
      </c>
      <c r="J15" s="159">
        <f t="shared" si="1"/>
        <v>5</v>
      </c>
    </row>
    <row r="16" spans="1:10" ht="16.5" thickTop="1" x14ac:dyDescent="0.25">
      <c r="A16" s="159">
        <f t="shared" si="0"/>
        <v>6</v>
      </c>
      <c r="C16" s="159"/>
      <c r="E16" s="334"/>
      <c r="F16" s="159"/>
      <c r="G16" s="159"/>
      <c r="H16" s="159"/>
      <c r="I16" s="61"/>
      <c r="J16" s="159">
        <f t="shared" si="1"/>
        <v>6</v>
      </c>
    </row>
    <row r="17" spans="1:10" ht="18.75" x14ac:dyDescent="0.25">
      <c r="A17" s="159">
        <f t="shared" si="0"/>
        <v>7</v>
      </c>
      <c r="B17" s="86" t="s">
        <v>382</v>
      </c>
      <c r="C17" s="159" t="s">
        <v>383</v>
      </c>
      <c r="D17" s="335"/>
      <c r="E17" s="330"/>
      <c r="F17" s="91"/>
      <c r="G17" s="336">
        <v>93697.406000000017</v>
      </c>
      <c r="H17" s="89"/>
      <c r="I17" s="61" t="s">
        <v>384</v>
      </c>
      <c r="J17" s="159">
        <f t="shared" si="1"/>
        <v>7</v>
      </c>
    </row>
    <row r="18" spans="1:10" x14ac:dyDescent="0.25">
      <c r="A18" s="159">
        <f t="shared" si="0"/>
        <v>8</v>
      </c>
      <c r="C18" s="159"/>
      <c r="E18" s="337"/>
      <c r="F18" s="91"/>
      <c r="G18" s="91"/>
      <c r="H18" s="91"/>
      <c r="I18" s="61"/>
      <c r="J18" s="159">
        <f t="shared" si="1"/>
        <v>8</v>
      </c>
    </row>
    <row r="19" spans="1:10" ht="16.5" thickBot="1" x14ac:dyDescent="0.3">
      <c r="A19" s="159">
        <f t="shared" si="0"/>
        <v>9</v>
      </c>
      <c r="B19" s="86" t="s">
        <v>385</v>
      </c>
      <c r="E19" s="330"/>
      <c r="F19" s="91"/>
      <c r="G19" s="333">
        <f>G13*G17</f>
        <v>37308.787275766081</v>
      </c>
      <c r="H19" s="89"/>
      <c r="I19" s="61" t="s">
        <v>386</v>
      </c>
      <c r="J19" s="159">
        <f t="shared" si="1"/>
        <v>9</v>
      </c>
    </row>
    <row r="20" spans="1:10" ht="16.5" thickTop="1" x14ac:dyDescent="0.25">
      <c r="A20" s="159">
        <f t="shared" si="0"/>
        <v>10</v>
      </c>
      <c r="E20" s="338"/>
      <c r="F20" s="91"/>
      <c r="G20" s="91"/>
      <c r="H20" s="91"/>
      <c r="I20" s="61"/>
      <c r="J20" s="159">
        <f t="shared" si="1"/>
        <v>10</v>
      </c>
    </row>
    <row r="21" spans="1:10" x14ac:dyDescent="0.25">
      <c r="A21" s="159">
        <f t="shared" si="0"/>
        <v>11</v>
      </c>
      <c r="B21" s="94" t="s">
        <v>387</v>
      </c>
      <c r="E21" s="338"/>
      <c r="F21" s="91"/>
      <c r="G21" s="91"/>
      <c r="H21" s="91"/>
      <c r="I21" s="61"/>
      <c r="J21" s="159">
        <f t="shared" si="1"/>
        <v>11</v>
      </c>
    </row>
    <row r="22" spans="1:10" x14ac:dyDescent="0.25">
      <c r="A22" s="159">
        <f t="shared" si="0"/>
        <v>12</v>
      </c>
      <c r="B22" s="86" t="s">
        <v>388</v>
      </c>
      <c r="E22" s="655">
        <v>43805.347860000002</v>
      </c>
      <c r="F22" s="25"/>
      <c r="G22" s="288"/>
      <c r="H22" s="91"/>
      <c r="I22" s="61" t="s">
        <v>91</v>
      </c>
      <c r="J22" s="159">
        <f t="shared" si="1"/>
        <v>12</v>
      </c>
    </row>
    <row r="23" spans="1:10" x14ac:dyDescent="0.25">
      <c r="A23" s="159">
        <f t="shared" si="0"/>
        <v>13</v>
      </c>
      <c r="B23" s="86" t="s">
        <v>389</v>
      </c>
      <c r="E23" s="339">
        <f>'Pg8 Rev Stmt AH'!E51</f>
        <v>49459.277852377687</v>
      </c>
      <c r="F23" s="25" t="s">
        <v>31</v>
      </c>
      <c r="G23" s="340"/>
      <c r="H23" s="91"/>
      <c r="I23" s="61" t="s">
        <v>608</v>
      </c>
      <c r="J23" s="159">
        <f t="shared" si="1"/>
        <v>13</v>
      </c>
    </row>
    <row r="24" spans="1:10" x14ac:dyDescent="0.25">
      <c r="A24" s="159">
        <f t="shared" si="0"/>
        <v>14</v>
      </c>
      <c r="B24" s="86" t="s">
        <v>233</v>
      </c>
      <c r="E24" s="383">
        <v>0</v>
      </c>
      <c r="F24" s="91"/>
      <c r="G24" s="340"/>
      <c r="H24" s="91"/>
      <c r="I24" s="61" t="s">
        <v>391</v>
      </c>
      <c r="J24" s="159">
        <f t="shared" si="1"/>
        <v>14</v>
      </c>
    </row>
    <row r="25" spans="1:10" x14ac:dyDescent="0.25">
      <c r="A25" s="159">
        <f t="shared" si="0"/>
        <v>15</v>
      </c>
      <c r="B25" s="86" t="s">
        <v>392</v>
      </c>
      <c r="E25" s="341">
        <f>SUM(E22:E24)</f>
        <v>93264.625712377689</v>
      </c>
      <c r="F25" s="25" t="s">
        <v>31</v>
      </c>
      <c r="G25" s="335"/>
      <c r="H25" s="61"/>
      <c r="I25" s="61" t="s">
        <v>393</v>
      </c>
      <c r="J25" s="159">
        <f t="shared" si="1"/>
        <v>15</v>
      </c>
    </row>
    <row r="26" spans="1:10" x14ac:dyDescent="0.25">
      <c r="A26" s="159">
        <f t="shared" si="0"/>
        <v>16</v>
      </c>
      <c r="F26" s="159"/>
      <c r="H26" s="159"/>
      <c r="I26" s="61"/>
      <c r="J26" s="159">
        <f t="shared" si="1"/>
        <v>16</v>
      </c>
    </row>
    <row r="27" spans="1:10" x14ac:dyDescent="0.25">
      <c r="A27" s="159">
        <f t="shared" si="0"/>
        <v>17</v>
      </c>
      <c r="B27" s="86" t="s">
        <v>394</v>
      </c>
      <c r="E27" s="342">
        <f>1/8</f>
        <v>0.125</v>
      </c>
      <c r="F27" s="159"/>
      <c r="G27" s="343"/>
      <c r="H27" s="159"/>
      <c r="I27" s="61" t="s">
        <v>395</v>
      </c>
      <c r="J27" s="159">
        <f t="shared" si="1"/>
        <v>17</v>
      </c>
    </row>
    <row r="28" spans="1:10" x14ac:dyDescent="0.25">
      <c r="A28" s="159">
        <f t="shared" si="0"/>
        <v>18</v>
      </c>
      <c r="E28" s="90" t="s">
        <v>228</v>
      </c>
      <c r="F28" s="91"/>
      <c r="G28" s="90"/>
      <c r="H28" s="91"/>
      <c r="I28" s="61"/>
      <c r="J28" s="159">
        <f t="shared" si="1"/>
        <v>18</v>
      </c>
    </row>
    <row r="29" spans="1:10" ht="16.5" thickBot="1" x14ac:dyDescent="0.3">
      <c r="A29" s="159">
        <f t="shared" si="0"/>
        <v>19</v>
      </c>
      <c r="B29" s="86" t="s">
        <v>396</v>
      </c>
      <c r="E29" s="344">
        <f>E25*E27</f>
        <v>11658.078214047211</v>
      </c>
      <c r="F29" s="25" t="s">
        <v>31</v>
      </c>
      <c r="G29" s="332"/>
      <c r="H29" s="91"/>
      <c r="I29" s="159" t="s">
        <v>397</v>
      </c>
      <c r="J29" s="159">
        <f t="shared" si="1"/>
        <v>19</v>
      </c>
    </row>
    <row r="30" spans="1:10" ht="16.5" thickTop="1" x14ac:dyDescent="0.25">
      <c r="E30" s="664"/>
      <c r="F30" s="25"/>
      <c r="G30" s="332"/>
      <c r="H30" s="91"/>
      <c r="I30" s="159"/>
      <c r="J30" s="159"/>
    </row>
    <row r="31" spans="1:10" x14ac:dyDescent="0.25">
      <c r="B31" s="345"/>
    </row>
    <row r="32" spans="1:10" x14ac:dyDescent="0.25">
      <c r="A32" s="25" t="s">
        <v>31</v>
      </c>
      <c r="B32" s="23" t="s">
        <v>630</v>
      </c>
    </row>
    <row r="33" spans="1:2" x14ac:dyDescent="0.25">
      <c r="A33" s="25"/>
      <c r="B33" s="23" t="s">
        <v>631</v>
      </c>
    </row>
    <row r="34" spans="1:2" ht="18.75" x14ac:dyDescent="0.25">
      <c r="A34" s="97">
        <v>1</v>
      </c>
      <c r="B34" s="86" t="s">
        <v>398</v>
      </c>
    </row>
    <row r="35" spans="1:2" ht="18.75" x14ac:dyDescent="0.25">
      <c r="A35" s="97">
        <v>2</v>
      </c>
      <c r="B35" s="660" t="s">
        <v>399</v>
      </c>
    </row>
    <row r="36" spans="1:2" x14ac:dyDescent="0.25">
      <c r="B36" s="661" t="s">
        <v>400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C59D-B342-4AD9-963B-8FBB49E95519}">
  <sheetPr>
    <pageSetUpPr fitToPage="1"/>
  </sheetPr>
  <dimension ref="A1:J36"/>
  <sheetViews>
    <sheetView zoomScale="80" zoomScaleNormal="80" workbookViewId="0"/>
  </sheetViews>
  <sheetFormatPr defaultColWidth="8.85546875" defaultRowHeight="15.75" x14ac:dyDescent="0.25"/>
  <cols>
    <col min="1" max="1" width="5.140625" style="159" bestFit="1" customWidth="1"/>
    <col min="2" max="2" width="68.85546875" style="86" customWidth="1"/>
    <col min="3" max="3" width="24" style="87" customWidth="1"/>
    <col min="4" max="4" width="1.5703125" style="86" customWidth="1"/>
    <col min="5" max="5" width="16.85546875" style="86" customWidth="1"/>
    <col min="6" max="6" width="1.5703125" style="86" customWidth="1"/>
    <col min="7" max="7" width="16.85546875" style="86" customWidth="1"/>
    <col min="8" max="8" width="1.5703125" style="86" customWidth="1"/>
    <col min="9" max="9" width="36.140625" style="86" customWidth="1"/>
    <col min="10" max="10" width="5.140625" style="86" customWidth="1"/>
    <col min="11" max="16384" width="8.85546875" style="86"/>
  </cols>
  <sheetData>
    <row r="1" spans="1:10" x14ac:dyDescent="0.25">
      <c r="A1" s="691" t="s">
        <v>638</v>
      </c>
    </row>
    <row r="2" spans="1:10" x14ac:dyDescent="0.25">
      <c r="H2" s="159"/>
      <c r="I2" s="384"/>
      <c r="J2" s="159"/>
    </row>
    <row r="3" spans="1:10" x14ac:dyDescent="0.25">
      <c r="B3" s="815" t="s">
        <v>19</v>
      </c>
      <c r="C3" s="816"/>
      <c r="D3" s="816"/>
      <c r="E3" s="816"/>
      <c r="F3" s="816"/>
      <c r="G3" s="816"/>
      <c r="H3" s="816"/>
      <c r="I3" s="816"/>
      <c r="J3" s="158"/>
    </row>
    <row r="4" spans="1:10" x14ac:dyDescent="0.25">
      <c r="B4" s="815" t="s">
        <v>369</v>
      </c>
      <c r="C4" s="816"/>
      <c r="D4" s="816"/>
      <c r="E4" s="816"/>
      <c r="F4" s="816"/>
      <c r="G4" s="816"/>
      <c r="H4" s="816"/>
      <c r="I4" s="816"/>
      <c r="J4" s="158"/>
    </row>
    <row r="5" spans="1:10" x14ac:dyDescent="0.25">
      <c r="B5" s="815" t="s">
        <v>370</v>
      </c>
      <c r="C5" s="816"/>
      <c r="D5" s="816"/>
      <c r="E5" s="816"/>
      <c r="F5" s="816"/>
      <c r="G5" s="816"/>
      <c r="H5" s="816"/>
      <c r="I5" s="816"/>
      <c r="J5" s="158"/>
    </row>
    <row r="6" spans="1:10" x14ac:dyDescent="0.25">
      <c r="B6" s="817" t="s">
        <v>71</v>
      </c>
      <c r="C6" s="817"/>
      <c r="D6" s="817"/>
      <c r="E6" s="817"/>
      <c r="F6" s="817"/>
      <c r="G6" s="817"/>
      <c r="H6" s="817"/>
      <c r="I6" s="817"/>
      <c r="J6" s="158"/>
    </row>
    <row r="7" spans="1:10" x14ac:dyDescent="0.25">
      <c r="B7" s="818" t="s">
        <v>3</v>
      </c>
      <c r="C7" s="818"/>
      <c r="D7" s="818"/>
      <c r="E7" s="818"/>
      <c r="F7" s="818"/>
      <c r="G7" s="818"/>
      <c r="H7" s="818"/>
      <c r="I7" s="818"/>
      <c r="J7" s="88"/>
    </row>
    <row r="8" spans="1:10" x14ac:dyDescent="0.25">
      <c r="B8" s="159"/>
      <c r="D8" s="159"/>
      <c r="E8" s="159"/>
      <c r="F8" s="159"/>
      <c r="G8" s="159"/>
      <c r="H8" s="158"/>
      <c r="I8" s="158"/>
      <c r="J8" s="158"/>
    </row>
    <row r="9" spans="1:10" x14ac:dyDescent="0.25">
      <c r="A9" s="159" t="s">
        <v>4</v>
      </c>
      <c r="B9" s="158"/>
      <c r="C9" s="36" t="s">
        <v>194</v>
      </c>
      <c r="D9" s="159"/>
      <c r="E9" s="159" t="s">
        <v>371</v>
      </c>
      <c r="F9" s="159"/>
      <c r="G9" s="159" t="s">
        <v>372</v>
      </c>
      <c r="H9" s="158"/>
      <c r="I9" s="158"/>
      <c r="J9" s="159" t="s">
        <v>4</v>
      </c>
    </row>
    <row r="10" spans="1:10" x14ac:dyDescent="0.25">
      <c r="A10" s="159" t="s">
        <v>5</v>
      </c>
      <c r="B10" s="158"/>
      <c r="C10" s="313" t="s">
        <v>195</v>
      </c>
      <c r="D10" s="158"/>
      <c r="E10" s="328" t="s">
        <v>373</v>
      </c>
      <c r="F10" s="158"/>
      <c r="G10" s="328" t="s">
        <v>374</v>
      </c>
      <c r="H10" s="158"/>
      <c r="I10" s="329" t="s">
        <v>8</v>
      </c>
      <c r="J10" s="159" t="s">
        <v>5</v>
      </c>
    </row>
    <row r="11" spans="1:10" x14ac:dyDescent="0.25">
      <c r="B11" s="159"/>
      <c r="D11" s="159"/>
      <c r="E11" s="159"/>
      <c r="F11" s="159"/>
      <c r="G11" s="159"/>
      <c r="H11" s="159"/>
      <c r="I11" s="159"/>
      <c r="J11" s="159"/>
    </row>
    <row r="12" spans="1:10" ht="18.75" x14ac:dyDescent="0.25">
      <c r="A12" s="159">
        <v>1</v>
      </c>
      <c r="B12" s="86" t="s">
        <v>375</v>
      </c>
      <c r="C12" s="159" t="s">
        <v>376</v>
      </c>
      <c r="E12" s="330"/>
      <c r="F12" s="89"/>
      <c r="G12" s="287">
        <v>128758.20369230768</v>
      </c>
      <c r="H12" s="89"/>
      <c r="I12" s="61" t="s">
        <v>377</v>
      </c>
      <c r="J12" s="159">
        <f>A12</f>
        <v>1</v>
      </c>
    </row>
    <row r="13" spans="1:10" x14ac:dyDescent="0.25">
      <c r="A13" s="159">
        <f>+A12+1</f>
        <v>2</v>
      </c>
      <c r="C13" s="159"/>
      <c r="E13" s="90"/>
      <c r="F13" s="91"/>
      <c r="G13" s="91"/>
      <c r="H13" s="91"/>
      <c r="I13" s="61"/>
      <c r="J13" s="159">
        <f>+J12+1</f>
        <v>2</v>
      </c>
    </row>
    <row r="14" spans="1:10" x14ac:dyDescent="0.25">
      <c r="A14" s="159">
        <f t="shared" ref="A14:A30" si="0">+A13+1</f>
        <v>3</v>
      </c>
      <c r="B14" s="86" t="s">
        <v>378</v>
      </c>
      <c r="C14" s="159"/>
      <c r="E14" s="92"/>
      <c r="F14" s="93"/>
      <c r="G14" s="331">
        <v>0.39818377977044611</v>
      </c>
      <c r="H14" s="89"/>
      <c r="I14" s="61" t="s">
        <v>379</v>
      </c>
      <c r="J14" s="159">
        <f t="shared" ref="J14:J30" si="1">+J13+1</f>
        <v>3</v>
      </c>
    </row>
    <row r="15" spans="1:10" x14ac:dyDescent="0.25">
      <c r="A15" s="159">
        <f t="shared" si="0"/>
        <v>4</v>
      </c>
      <c r="C15" s="159"/>
      <c r="E15" s="90"/>
      <c r="F15" s="91"/>
      <c r="G15" s="90"/>
      <c r="H15" s="91"/>
      <c r="I15" s="61"/>
      <c r="J15" s="159">
        <f t="shared" si="1"/>
        <v>4</v>
      </c>
    </row>
    <row r="16" spans="1:10" ht="16.5" thickBot="1" x14ac:dyDescent="0.3">
      <c r="A16" s="159">
        <f t="shared" si="0"/>
        <v>5</v>
      </c>
      <c r="B16" s="86" t="s">
        <v>380</v>
      </c>
      <c r="C16" s="159"/>
      <c r="E16" s="332"/>
      <c r="F16" s="91"/>
      <c r="G16" s="333">
        <f>G12*G14</f>
        <v>51269.428222656083</v>
      </c>
      <c r="H16" s="89"/>
      <c r="I16" s="61" t="s">
        <v>381</v>
      </c>
      <c r="J16" s="159">
        <f t="shared" si="1"/>
        <v>5</v>
      </c>
    </row>
    <row r="17" spans="1:10" ht="16.5" thickTop="1" x14ac:dyDescent="0.25">
      <c r="A17" s="159">
        <f t="shared" si="0"/>
        <v>6</v>
      </c>
      <c r="C17" s="159"/>
      <c r="E17" s="334"/>
      <c r="F17" s="159"/>
      <c r="G17" s="159"/>
      <c r="H17" s="159"/>
      <c r="I17" s="61"/>
      <c r="J17" s="159">
        <f t="shared" si="1"/>
        <v>6</v>
      </c>
    </row>
    <row r="18" spans="1:10" ht="18.75" x14ac:dyDescent="0.25">
      <c r="A18" s="159">
        <f t="shared" si="0"/>
        <v>7</v>
      </c>
      <c r="B18" s="86" t="s">
        <v>382</v>
      </c>
      <c r="C18" s="159" t="s">
        <v>383</v>
      </c>
      <c r="D18" s="335"/>
      <c r="E18" s="330"/>
      <c r="F18" s="91"/>
      <c r="G18" s="336">
        <v>93697.406000000017</v>
      </c>
      <c r="H18" s="89"/>
      <c r="I18" s="61" t="s">
        <v>384</v>
      </c>
      <c r="J18" s="159">
        <f t="shared" si="1"/>
        <v>7</v>
      </c>
    </row>
    <row r="19" spans="1:10" x14ac:dyDescent="0.25">
      <c r="A19" s="159">
        <f t="shared" si="0"/>
        <v>8</v>
      </c>
      <c r="C19" s="159"/>
      <c r="E19" s="337"/>
      <c r="F19" s="91"/>
      <c r="G19" s="91"/>
      <c r="H19" s="91"/>
      <c r="I19" s="61"/>
      <c r="J19" s="159">
        <f t="shared" si="1"/>
        <v>8</v>
      </c>
    </row>
    <row r="20" spans="1:10" ht="16.5" thickBot="1" x14ac:dyDescent="0.3">
      <c r="A20" s="159">
        <f t="shared" si="0"/>
        <v>9</v>
      </c>
      <c r="B20" s="86" t="s">
        <v>385</v>
      </c>
      <c r="E20" s="330"/>
      <c r="F20" s="91"/>
      <c r="G20" s="333">
        <f>G14*G18</f>
        <v>37308.787275766081</v>
      </c>
      <c r="H20" s="89"/>
      <c r="I20" s="61" t="s">
        <v>386</v>
      </c>
      <c r="J20" s="159">
        <f t="shared" si="1"/>
        <v>9</v>
      </c>
    </row>
    <row r="21" spans="1:10" ht="16.5" thickTop="1" x14ac:dyDescent="0.25">
      <c r="A21" s="159">
        <f t="shared" si="0"/>
        <v>10</v>
      </c>
      <c r="E21" s="338"/>
      <c r="F21" s="91"/>
      <c r="G21" s="91"/>
      <c r="H21" s="91"/>
      <c r="I21" s="61"/>
      <c r="J21" s="159">
        <f t="shared" si="1"/>
        <v>10</v>
      </c>
    </row>
    <row r="22" spans="1:10" x14ac:dyDescent="0.25">
      <c r="A22" s="159">
        <f t="shared" si="0"/>
        <v>11</v>
      </c>
      <c r="B22" s="94" t="s">
        <v>387</v>
      </c>
      <c r="E22" s="338"/>
      <c r="F22" s="91"/>
      <c r="G22" s="91"/>
      <c r="H22" s="91"/>
      <c r="I22" s="61"/>
      <c r="J22" s="159">
        <f t="shared" si="1"/>
        <v>11</v>
      </c>
    </row>
    <row r="23" spans="1:10" x14ac:dyDescent="0.25">
      <c r="A23" s="159">
        <f t="shared" si="0"/>
        <v>12</v>
      </c>
      <c r="B23" s="86" t="s">
        <v>388</v>
      </c>
      <c r="E23" s="655">
        <v>43805.347860000002</v>
      </c>
      <c r="F23" s="25"/>
      <c r="G23" s="288"/>
      <c r="H23" s="91"/>
      <c r="I23" s="61" t="s">
        <v>91</v>
      </c>
      <c r="J23" s="159">
        <f t="shared" si="1"/>
        <v>12</v>
      </c>
    </row>
    <row r="24" spans="1:10" x14ac:dyDescent="0.25">
      <c r="A24" s="159">
        <f t="shared" si="0"/>
        <v>13</v>
      </c>
      <c r="B24" s="86" t="s">
        <v>389</v>
      </c>
      <c r="E24" s="339">
        <v>47690.791129601894</v>
      </c>
      <c r="F24" s="25" t="s">
        <v>31</v>
      </c>
      <c r="G24" s="340"/>
      <c r="H24" s="91"/>
      <c r="I24" s="61" t="s">
        <v>390</v>
      </c>
      <c r="J24" s="159">
        <f t="shared" si="1"/>
        <v>13</v>
      </c>
    </row>
    <row r="25" spans="1:10" x14ac:dyDescent="0.25">
      <c r="A25" s="159">
        <f t="shared" si="0"/>
        <v>14</v>
      </c>
      <c r="B25" s="86" t="s">
        <v>233</v>
      </c>
      <c r="E25" s="383">
        <v>0</v>
      </c>
      <c r="F25" s="91"/>
      <c r="G25" s="340"/>
      <c r="H25" s="91"/>
      <c r="I25" s="61" t="s">
        <v>391</v>
      </c>
      <c r="J25" s="159">
        <f t="shared" si="1"/>
        <v>14</v>
      </c>
    </row>
    <row r="26" spans="1:10" x14ac:dyDescent="0.25">
      <c r="A26" s="159">
        <f t="shared" si="0"/>
        <v>15</v>
      </c>
      <c r="B26" s="86" t="s">
        <v>392</v>
      </c>
      <c r="E26" s="341">
        <f>SUM(E23:E25)</f>
        <v>91496.138989601895</v>
      </c>
      <c r="F26" s="25" t="s">
        <v>31</v>
      </c>
      <c r="G26" s="335"/>
      <c r="H26" s="61"/>
      <c r="I26" s="61" t="s">
        <v>393</v>
      </c>
      <c r="J26" s="159">
        <f t="shared" si="1"/>
        <v>15</v>
      </c>
    </row>
    <row r="27" spans="1:10" x14ac:dyDescent="0.25">
      <c r="A27" s="159">
        <f t="shared" si="0"/>
        <v>16</v>
      </c>
      <c r="F27" s="159"/>
      <c r="H27" s="159"/>
      <c r="I27" s="61"/>
      <c r="J27" s="159">
        <f t="shared" si="1"/>
        <v>16</v>
      </c>
    </row>
    <row r="28" spans="1:10" x14ac:dyDescent="0.25">
      <c r="A28" s="159">
        <f t="shared" si="0"/>
        <v>17</v>
      </c>
      <c r="B28" s="86" t="s">
        <v>394</v>
      </c>
      <c r="E28" s="342">
        <f>1/8</f>
        <v>0.125</v>
      </c>
      <c r="F28" s="159"/>
      <c r="G28" s="343"/>
      <c r="H28" s="159"/>
      <c r="I28" s="61" t="s">
        <v>395</v>
      </c>
      <c r="J28" s="159">
        <f t="shared" si="1"/>
        <v>17</v>
      </c>
    </row>
    <row r="29" spans="1:10" x14ac:dyDescent="0.25">
      <c r="A29" s="159">
        <f t="shared" si="0"/>
        <v>18</v>
      </c>
      <c r="E29" s="90" t="s">
        <v>228</v>
      </c>
      <c r="F29" s="91"/>
      <c r="G29" s="90"/>
      <c r="H29" s="91"/>
      <c r="I29" s="61"/>
      <c r="J29" s="159">
        <f t="shared" si="1"/>
        <v>18</v>
      </c>
    </row>
    <row r="30" spans="1:10" ht="16.5" thickBot="1" x14ac:dyDescent="0.3">
      <c r="A30" s="159">
        <f t="shared" si="0"/>
        <v>19</v>
      </c>
      <c r="B30" s="86" t="s">
        <v>396</v>
      </c>
      <c r="E30" s="344">
        <f>E26*E28</f>
        <v>11437.017373700237</v>
      </c>
      <c r="F30" s="25" t="s">
        <v>31</v>
      </c>
      <c r="G30" s="332"/>
      <c r="H30" s="91"/>
      <c r="I30" s="159" t="s">
        <v>397</v>
      </c>
      <c r="J30" s="159">
        <f t="shared" si="1"/>
        <v>19</v>
      </c>
    </row>
    <row r="31" spans="1:10" ht="16.5" thickTop="1" x14ac:dyDescent="0.25">
      <c r="E31" s="664"/>
      <c r="F31" s="25"/>
      <c r="G31" s="332"/>
      <c r="H31" s="91"/>
      <c r="I31" s="159"/>
      <c r="J31" s="159"/>
    </row>
    <row r="32" spans="1:10" x14ac:dyDescent="0.25">
      <c r="B32" s="345"/>
    </row>
    <row r="33" spans="1:2" x14ac:dyDescent="0.25">
      <c r="A33" s="25" t="s">
        <v>31</v>
      </c>
      <c r="B33" s="23" t="s">
        <v>592</v>
      </c>
    </row>
    <row r="34" spans="1:2" ht="18.75" x14ac:dyDescent="0.25">
      <c r="A34" s="97">
        <v>1</v>
      </c>
      <c r="B34" s="86" t="s">
        <v>398</v>
      </c>
    </row>
    <row r="35" spans="1:2" ht="18.75" x14ac:dyDescent="0.25">
      <c r="A35" s="97">
        <v>2</v>
      </c>
      <c r="B35" s="660" t="s">
        <v>399</v>
      </c>
    </row>
    <row r="36" spans="1:2" x14ac:dyDescent="0.25">
      <c r="B36" s="661" t="s">
        <v>400</v>
      </c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Roman,Bold"&amp;7AS FILED STMT AL WITH COST ADJ. INCL. IN APPENDIX X CYCLE 11 (ER23-109)</oddHeader>
    <oddFooter>&amp;L&amp;F&amp;CPage 9.1&amp;R&amp;A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zoomScale="80" zoomScaleNormal="80" workbookViewId="0"/>
  </sheetViews>
  <sheetFormatPr defaultColWidth="8.85546875" defaultRowHeight="15.75" x14ac:dyDescent="0.25"/>
  <cols>
    <col min="1" max="1" width="5.140625" style="36" customWidth="1"/>
    <col min="2" max="2" width="55.42578125" style="37" customWidth="1"/>
    <col min="3" max="5" width="15.5703125" style="37" customWidth="1"/>
    <col min="6" max="6" width="1.5703125" style="37" customWidth="1"/>
    <col min="7" max="7" width="16.85546875" style="37" customWidth="1"/>
    <col min="8" max="8" width="1.5703125" style="37" customWidth="1"/>
    <col min="9" max="9" width="38.85546875" style="98" customWidth="1"/>
    <col min="10" max="10" width="5.140625" style="37" customWidth="1"/>
    <col min="11" max="11" width="27" style="37" bestFit="1" customWidth="1"/>
    <col min="12" max="12" width="15" style="37" bestFit="1" customWidth="1"/>
    <col min="13" max="13" width="10.42578125" style="37" bestFit="1" customWidth="1"/>
    <col min="14" max="16384" width="8.85546875" style="37"/>
  </cols>
  <sheetData>
    <row r="1" spans="1:10" x14ac:dyDescent="0.25">
      <c r="A1" s="346"/>
      <c r="G1" s="63"/>
      <c r="H1" s="63"/>
      <c r="I1" s="122"/>
      <c r="J1" s="36"/>
    </row>
    <row r="2" spans="1:10" x14ac:dyDescent="0.25">
      <c r="B2" s="808" t="s">
        <v>401</v>
      </c>
      <c r="C2" s="808"/>
      <c r="D2" s="808"/>
      <c r="E2" s="808"/>
      <c r="F2" s="808"/>
      <c r="G2" s="808"/>
      <c r="H2" s="808"/>
      <c r="I2" s="808"/>
      <c r="J2" s="36"/>
    </row>
    <row r="3" spans="1:10" x14ac:dyDescent="0.25">
      <c r="B3" s="808" t="s">
        <v>402</v>
      </c>
      <c r="C3" s="808"/>
      <c r="D3" s="808"/>
      <c r="E3" s="808"/>
      <c r="F3" s="808"/>
      <c r="G3" s="808"/>
      <c r="H3" s="808"/>
      <c r="I3" s="808"/>
      <c r="J3" s="36"/>
    </row>
    <row r="4" spans="1:10" x14ac:dyDescent="0.25">
      <c r="B4" s="808" t="s">
        <v>403</v>
      </c>
      <c r="C4" s="808"/>
      <c r="D4" s="808"/>
      <c r="E4" s="808"/>
      <c r="F4" s="808"/>
      <c r="G4" s="808"/>
      <c r="H4" s="808"/>
      <c r="I4" s="808"/>
      <c r="J4" s="36"/>
    </row>
    <row r="5" spans="1:10" x14ac:dyDescent="0.25">
      <c r="B5" s="811" t="s">
        <v>71</v>
      </c>
      <c r="C5" s="811"/>
      <c r="D5" s="811"/>
      <c r="E5" s="811"/>
      <c r="F5" s="811"/>
      <c r="G5" s="811"/>
      <c r="H5" s="811"/>
      <c r="I5" s="811"/>
      <c r="J5" s="36"/>
    </row>
    <row r="6" spans="1:10" x14ac:dyDescent="0.25">
      <c r="B6" s="810" t="s">
        <v>3</v>
      </c>
      <c r="C6" s="812"/>
      <c r="D6" s="812"/>
      <c r="E6" s="812"/>
      <c r="F6" s="812"/>
      <c r="G6" s="812"/>
      <c r="H6" s="812"/>
      <c r="I6" s="812"/>
      <c r="J6" s="36"/>
    </row>
    <row r="7" spans="1:10" x14ac:dyDescent="0.25">
      <c r="B7" s="36"/>
      <c r="C7" s="36"/>
      <c r="D7" s="36"/>
      <c r="E7" s="36"/>
      <c r="F7" s="36"/>
      <c r="G7" s="36"/>
      <c r="H7" s="36"/>
      <c r="I7" s="48"/>
      <c r="J7" s="36"/>
    </row>
    <row r="8" spans="1:10" x14ac:dyDescent="0.25">
      <c r="A8" s="36" t="s">
        <v>4</v>
      </c>
      <c r="B8" s="369"/>
      <c r="C8" s="369"/>
      <c r="D8" s="369"/>
      <c r="E8" s="36" t="s">
        <v>194</v>
      </c>
      <c r="F8" s="369"/>
      <c r="G8" s="369"/>
      <c r="H8" s="369"/>
      <c r="I8" s="48"/>
      <c r="J8" s="36" t="s">
        <v>4</v>
      </c>
    </row>
    <row r="9" spans="1:10" x14ac:dyDescent="0.25">
      <c r="A9" s="36" t="s">
        <v>5</v>
      </c>
      <c r="B9" s="36"/>
      <c r="C9" s="36"/>
      <c r="D9" s="36"/>
      <c r="E9" s="313" t="s">
        <v>195</v>
      </c>
      <c r="F9" s="36"/>
      <c r="G9" s="314" t="s">
        <v>7</v>
      </c>
      <c r="H9" s="369"/>
      <c r="I9" s="347" t="s">
        <v>8</v>
      </c>
      <c r="J9" s="36" t="s">
        <v>5</v>
      </c>
    </row>
    <row r="10" spans="1:10" x14ac:dyDescent="0.25">
      <c r="B10" s="36"/>
      <c r="C10" s="36"/>
      <c r="D10" s="36"/>
      <c r="E10" s="36"/>
      <c r="F10" s="36"/>
      <c r="G10" s="36"/>
      <c r="H10" s="36"/>
      <c r="I10" s="48"/>
      <c r="J10" s="36"/>
    </row>
    <row r="11" spans="1:10" x14ac:dyDescent="0.25">
      <c r="A11" s="36">
        <v>1</v>
      </c>
      <c r="B11" s="41" t="s">
        <v>404</v>
      </c>
      <c r="I11" s="48"/>
      <c r="J11" s="36">
        <f>A11</f>
        <v>1</v>
      </c>
    </row>
    <row r="12" spans="1:10" x14ac:dyDescent="0.25">
      <c r="A12" s="36">
        <f>A11+1</f>
        <v>2</v>
      </c>
      <c r="B12" s="37" t="s">
        <v>405</v>
      </c>
      <c r="E12" s="36" t="s">
        <v>406</v>
      </c>
      <c r="G12" s="99">
        <v>6053573</v>
      </c>
      <c r="H12" s="369"/>
      <c r="I12" s="102"/>
      <c r="J12" s="36">
        <f>J11+1</f>
        <v>2</v>
      </c>
    </row>
    <row r="13" spans="1:10" x14ac:dyDescent="0.25">
      <c r="A13" s="36">
        <f t="shared" ref="A13:A65" si="0">A12+1</f>
        <v>3</v>
      </c>
      <c r="B13" s="37" t="s">
        <v>407</v>
      </c>
      <c r="E13" s="36" t="s">
        <v>408</v>
      </c>
      <c r="G13" s="100">
        <v>0</v>
      </c>
      <c r="H13" s="369"/>
      <c r="I13" s="102"/>
      <c r="J13" s="36">
        <f t="shared" ref="J13:J65" si="1">J12+1</f>
        <v>3</v>
      </c>
    </row>
    <row r="14" spans="1:10" x14ac:dyDescent="0.25">
      <c r="A14" s="36">
        <f t="shared" si="0"/>
        <v>4</v>
      </c>
      <c r="B14" s="37" t="s">
        <v>409</v>
      </c>
      <c r="E14" s="36" t="s">
        <v>410</v>
      </c>
      <c r="G14" s="100">
        <v>0</v>
      </c>
      <c r="H14" s="369"/>
      <c r="I14" s="102"/>
      <c r="J14" s="36">
        <f t="shared" si="1"/>
        <v>4</v>
      </c>
    </row>
    <row r="15" spans="1:10" x14ac:dyDescent="0.25">
      <c r="A15" s="36">
        <f t="shared" si="0"/>
        <v>5</v>
      </c>
      <c r="B15" s="37" t="s">
        <v>411</v>
      </c>
      <c r="E15" s="36" t="s">
        <v>412</v>
      </c>
      <c r="G15" s="100">
        <v>0</v>
      </c>
      <c r="H15" s="369"/>
      <c r="I15" s="102"/>
      <c r="J15" s="36">
        <f t="shared" si="1"/>
        <v>5</v>
      </c>
    </row>
    <row r="16" spans="1:10" x14ac:dyDescent="0.25">
      <c r="A16" s="36">
        <f t="shared" si="0"/>
        <v>6</v>
      </c>
      <c r="B16" s="37" t="s">
        <v>413</v>
      </c>
      <c r="E16" s="36" t="s">
        <v>414</v>
      </c>
      <c r="G16" s="100">
        <v>-13172.642</v>
      </c>
      <c r="H16" s="369"/>
      <c r="I16" s="102"/>
      <c r="J16" s="36">
        <f t="shared" si="1"/>
        <v>6</v>
      </c>
    </row>
    <row r="17" spans="1:10" x14ac:dyDescent="0.25">
      <c r="A17" s="36">
        <f t="shared" si="0"/>
        <v>7</v>
      </c>
      <c r="B17" s="37" t="s">
        <v>415</v>
      </c>
      <c r="G17" s="101">
        <f>SUM(G12:G16)</f>
        <v>6040400.358</v>
      </c>
      <c r="H17" s="95"/>
      <c r="I17" s="48" t="str">
        <f>"Sum Lines "&amp;A12&amp;" thru "&amp;A16</f>
        <v>Sum Lines 2 thru 6</v>
      </c>
      <c r="J17" s="36">
        <f t="shared" si="1"/>
        <v>7</v>
      </c>
    </row>
    <row r="18" spans="1:10" x14ac:dyDescent="0.25">
      <c r="A18" s="36">
        <f t="shared" si="0"/>
        <v>8</v>
      </c>
      <c r="I18" s="48"/>
      <c r="J18" s="36">
        <f t="shared" si="1"/>
        <v>8</v>
      </c>
    </row>
    <row r="19" spans="1:10" x14ac:dyDescent="0.25">
      <c r="A19" s="36">
        <f t="shared" si="0"/>
        <v>9</v>
      </c>
      <c r="B19" s="41" t="s">
        <v>416</v>
      </c>
      <c r="G19" s="35"/>
      <c r="H19" s="35"/>
      <c r="I19" s="48"/>
      <c r="J19" s="36">
        <f t="shared" si="1"/>
        <v>9</v>
      </c>
    </row>
    <row r="20" spans="1:10" x14ac:dyDescent="0.25">
      <c r="A20" s="36">
        <f t="shared" si="0"/>
        <v>10</v>
      </c>
      <c r="B20" s="37" t="s">
        <v>417</v>
      </c>
      <c r="E20" s="36" t="s">
        <v>418</v>
      </c>
      <c r="G20" s="99">
        <v>233778.584</v>
      </c>
      <c r="H20" s="369"/>
      <c r="I20" s="102"/>
      <c r="J20" s="36">
        <f t="shared" si="1"/>
        <v>10</v>
      </c>
    </row>
    <row r="21" spans="1:10" x14ac:dyDescent="0.25">
      <c r="A21" s="36">
        <f t="shared" si="0"/>
        <v>11</v>
      </c>
      <c r="B21" s="37" t="s">
        <v>419</v>
      </c>
      <c r="E21" s="36" t="s">
        <v>420</v>
      </c>
      <c r="G21" s="100">
        <v>4107.085</v>
      </c>
      <c r="H21" s="369"/>
      <c r="I21" s="102"/>
      <c r="J21" s="36">
        <f t="shared" si="1"/>
        <v>11</v>
      </c>
    </row>
    <row r="22" spans="1:10" x14ac:dyDescent="0.25">
      <c r="A22" s="36">
        <f t="shared" si="0"/>
        <v>12</v>
      </c>
      <c r="B22" s="37" t="s">
        <v>421</v>
      </c>
      <c r="E22" s="36" t="s">
        <v>422</v>
      </c>
      <c r="G22" s="100">
        <v>1449.7840000000001</v>
      </c>
      <c r="H22" s="369"/>
      <c r="I22" s="102"/>
      <c r="J22" s="36">
        <f t="shared" si="1"/>
        <v>12</v>
      </c>
    </row>
    <row r="23" spans="1:10" x14ac:dyDescent="0.25">
      <c r="A23" s="36">
        <f t="shared" si="0"/>
        <v>13</v>
      </c>
      <c r="B23" s="37" t="s">
        <v>423</v>
      </c>
      <c r="E23" s="36" t="s">
        <v>424</v>
      </c>
      <c r="G23" s="100">
        <v>0</v>
      </c>
      <c r="H23" s="369"/>
      <c r="I23" s="102"/>
      <c r="J23" s="36">
        <f t="shared" si="1"/>
        <v>13</v>
      </c>
    </row>
    <row r="24" spans="1:10" x14ac:dyDescent="0.25">
      <c r="A24" s="36">
        <f t="shared" si="0"/>
        <v>14</v>
      </c>
      <c r="B24" s="37" t="s">
        <v>425</v>
      </c>
      <c r="E24" s="36" t="s">
        <v>426</v>
      </c>
      <c r="G24" s="100">
        <v>0</v>
      </c>
      <c r="H24" s="369"/>
      <c r="I24" s="102"/>
      <c r="J24" s="36">
        <f t="shared" si="1"/>
        <v>14</v>
      </c>
    </row>
    <row r="25" spans="1:10" x14ac:dyDescent="0.25">
      <c r="A25" s="36">
        <f t="shared" si="0"/>
        <v>15</v>
      </c>
      <c r="B25" s="37" t="s">
        <v>427</v>
      </c>
      <c r="G25" s="103">
        <f>SUM(G20:G24)</f>
        <v>239335.45300000001</v>
      </c>
      <c r="H25" s="104"/>
      <c r="I25" s="48" t="str">
        <f>"Sum Lines "&amp;A20&amp;" thru "&amp;A24</f>
        <v>Sum Lines 10 thru 14</v>
      </c>
      <c r="J25" s="36">
        <f t="shared" si="1"/>
        <v>15</v>
      </c>
    </row>
    <row r="26" spans="1:10" x14ac:dyDescent="0.25">
      <c r="A26" s="36">
        <f t="shared" si="0"/>
        <v>16</v>
      </c>
      <c r="I26" s="48"/>
      <c r="J26" s="36">
        <f t="shared" si="1"/>
        <v>16</v>
      </c>
    </row>
    <row r="27" spans="1:10" ht="16.5" thickBot="1" x14ac:dyDescent="0.3">
      <c r="A27" s="36">
        <f t="shared" si="0"/>
        <v>17</v>
      </c>
      <c r="B27" s="41" t="s">
        <v>428</v>
      </c>
      <c r="G27" s="105">
        <f>G25/G17</f>
        <v>3.9622448648295373E-2</v>
      </c>
      <c r="H27" s="106"/>
      <c r="I27" s="48" t="str">
        <f>"Line "&amp;A25&amp;" / Line "&amp;A17</f>
        <v>Line 15 / Line 7</v>
      </c>
      <c r="J27" s="36">
        <f t="shared" si="1"/>
        <v>17</v>
      </c>
    </row>
    <row r="28" spans="1:10" ht="16.5" thickTop="1" x14ac:dyDescent="0.25">
      <c r="A28" s="36">
        <f t="shared" si="0"/>
        <v>18</v>
      </c>
      <c r="I28" s="48"/>
      <c r="J28" s="36">
        <f t="shared" si="1"/>
        <v>18</v>
      </c>
    </row>
    <row r="29" spans="1:10" x14ac:dyDescent="0.25">
      <c r="A29" s="36">
        <f t="shared" si="0"/>
        <v>19</v>
      </c>
      <c r="B29" s="41" t="s">
        <v>429</v>
      </c>
      <c r="I29" s="48"/>
      <c r="J29" s="36">
        <f t="shared" si="1"/>
        <v>19</v>
      </c>
    </row>
    <row r="30" spans="1:10" x14ac:dyDescent="0.25">
      <c r="A30" s="36">
        <f t="shared" si="0"/>
        <v>20</v>
      </c>
      <c r="B30" s="37" t="s">
        <v>430</v>
      </c>
      <c r="E30" s="36" t="s">
        <v>431</v>
      </c>
      <c r="G30" s="99">
        <v>0</v>
      </c>
      <c r="H30" s="369"/>
      <c r="I30" s="102"/>
      <c r="J30" s="36">
        <f t="shared" si="1"/>
        <v>20</v>
      </c>
    </row>
    <row r="31" spans="1:10" x14ac:dyDescent="0.25">
      <c r="A31" s="36">
        <f t="shared" si="0"/>
        <v>21</v>
      </c>
      <c r="B31" s="37" t="s">
        <v>432</v>
      </c>
      <c r="E31" s="36" t="s">
        <v>433</v>
      </c>
      <c r="G31" s="348">
        <v>0</v>
      </c>
      <c r="H31" s="369"/>
      <c r="I31" s="102"/>
      <c r="J31" s="36">
        <f t="shared" si="1"/>
        <v>21</v>
      </c>
    </row>
    <row r="32" spans="1:10" ht="16.5" thickBot="1" x14ac:dyDescent="0.3">
      <c r="A32" s="36">
        <f t="shared" si="0"/>
        <v>22</v>
      </c>
      <c r="B32" s="37" t="s">
        <v>434</v>
      </c>
      <c r="G32" s="105">
        <f>IFERROR((G31/G30),0)</f>
        <v>0</v>
      </c>
      <c r="H32" s="106"/>
      <c r="I32" s="48" t="str">
        <f>"Line "&amp;A31&amp;" / Line "&amp;A30</f>
        <v>Line 21 / Line 20</v>
      </c>
      <c r="J32" s="36">
        <f t="shared" si="1"/>
        <v>22</v>
      </c>
    </row>
    <row r="33" spans="1:12" ht="16.5" thickTop="1" x14ac:dyDescent="0.25">
      <c r="A33" s="36">
        <f t="shared" si="0"/>
        <v>23</v>
      </c>
      <c r="I33" s="48"/>
      <c r="J33" s="36">
        <f t="shared" si="1"/>
        <v>23</v>
      </c>
    </row>
    <row r="34" spans="1:12" x14ac:dyDescent="0.25">
      <c r="A34" s="36">
        <f t="shared" si="0"/>
        <v>24</v>
      </c>
      <c r="B34" s="41" t="s">
        <v>435</v>
      </c>
      <c r="I34" s="48"/>
      <c r="J34" s="36">
        <f t="shared" si="1"/>
        <v>24</v>
      </c>
    </row>
    <row r="35" spans="1:12" x14ac:dyDescent="0.25">
      <c r="A35" s="36">
        <f t="shared" si="0"/>
        <v>25</v>
      </c>
      <c r="B35" s="37" t="s">
        <v>436</v>
      </c>
      <c r="E35" s="36" t="s">
        <v>437</v>
      </c>
      <c r="G35" s="99">
        <v>7729413.6809999999</v>
      </c>
      <c r="H35" s="369"/>
      <c r="I35" s="102"/>
      <c r="J35" s="36">
        <f t="shared" si="1"/>
        <v>25</v>
      </c>
      <c r="K35" s="44"/>
      <c r="L35" s="349"/>
    </row>
    <row r="36" spans="1:12" x14ac:dyDescent="0.25">
      <c r="A36" s="36">
        <f t="shared" si="0"/>
        <v>26</v>
      </c>
      <c r="B36" s="37" t="s">
        <v>438</v>
      </c>
      <c r="E36" s="36" t="s">
        <v>431</v>
      </c>
      <c r="G36" s="107">
        <v>0</v>
      </c>
      <c r="H36" s="107"/>
      <c r="I36" s="48" t="str">
        <f>"Negative of Line "&amp;A30&amp;" Above"</f>
        <v>Negative of Line 20 Above</v>
      </c>
      <c r="J36" s="36">
        <f t="shared" si="1"/>
        <v>26</v>
      </c>
    </row>
    <row r="37" spans="1:12" x14ac:dyDescent="0.25">
      <c r="A37" s="36">
        <f t="shared" si="0"/>
        <v>27</v>
      </c>
      <c r="B37" s="37" t="s">
        <v>439</v>
      </c>
      <c r="E37" s="36" t="s">
        <v>440</v>
      </c>
      <c r="G37" s="100">
        <v>0</v>
      </c>
      <c r="H37" s="369"/>
      <c r="I37" s="102"/>
      <c r="J37" s="36">
        <f t="shared" si="1"/>
        <v>27</v>
      </c>
    </row>
    <row r="38" spans="1:12" x14ac:dyDescent="0.25">
      <c r="A38" s="36">
        <f t="shared" si="0"/>
        <v>28</v>
      </c>
      <c r="B38" s="37" t="s">
        <v>441</v>
      </c>
      <c r="E38" s="36" t="s">
        <v>442</v>
      </c>
      <c r="G38" s="100">
        <v>10034.102000000001</v>
      </c>
      <c r="H38" s="369"/>
      <c r="I38" s="102"/>
      <c r="J38" s="36">
        <f t="shared" si="1"/>
        <v>28</v>
      </c>
    </row>
    <row r="39" spans="1:12" ht="16.5" thickBot="1" x14ac:dyDescent="0.3">
      <c r="A39" s="36">
        <f t="shared" si="0"/>
        <v>29</v>
      </c>
      <c r="B39" s="37" t="s">
        <v>443</v>
      </c>
      <c r="G39" s="108">
        <f>SUM(G35:G38)</f>
        <v>7739447.7829999998</v>
      </c>
      <c r="H39" s="109"/>
      <c r="I39" s="48" t="str">
        <f>"Sum Lines "&amp;A35&amp;" thru "&amp;A38</f>
        <v>Sum Lines 25 thru 28</v>
      </c>
      <c r="J39" s="36">
        <f t="shared" si="1"/>
        <v>29</v>
      </c>
    </row>
    <row r="40" spans="1:12" ht="17.25" thickTop="1" thickBot="1" x14ac:dyDescent="0.3">
      <c r="A40" s="110">
        <f t="shared" si="0"/>
        <v>30</v>
      </c>
      <c r="B40" s="83"/>
      <c r="C40" s="83"/>
      <c r="D40" s="83"/>
      <c r="E40" s="83"/>
      <c r="F40" s="83"/>
      <c r="G40" s="83"/>
      <c r="H40" s="83"/>
      <c r="I40" s="111"/>
      <c r="J40" s="110">
        <f t="shared" si="1"/>
        <v>30</v>
      </c>
    </row>
    <row r="41" spans="1:12" x14ac:dyDescent="0.25">
      <c r="A41" s="36">
        <f>A40+1</f>
        <v>31</v>
      </c>
      <c r="I41" s="48"/>
      <c r="J41" s="36">
        <f>J40+1</f>
        <v>31</v>
      </c>
    </row>
    <row r="42" spans="1:12" ht="16.5" thickBot="1" x14ac:dyDescent="0.3">
      <c r="A42" s="36">
        <f>A41+1</f>
        <v>32</v>
      </c>
      <c r="B42" s="41" t="s">
        <v>444</v>
      </c>
      <c r="G42" s="112">
        <v>0.106</v>
      </c>
      <c r="H42" s="369"/>
      <c r="I42" s="36" t="s">
        <v>445</v>
      </c>
      <c r="J42" s="36">
        <f>J41+1</f>
        <v>32</v>
      </c>
    </row>
    <row r="43" spans="1:12" ht="16.5" thickTop="1" x14ac:dyDescent="0.25">
      <c r="A43" s="36">
        <f t="shared" si="0"/>
        <v>33</v>
      </c>
      <c r="C43" s="68" t="s">
        <v>288</v>
      </c>
      <c r="D43" s="68" t="s">
        <v>289</v>
      </c>
      <c r="E43" s="68" t="s">
        <v>446</v>
      </c>
      <c r="F43" s="68"/>
      <c r="G43" s="68" t="s">
        <v>447</v>
      </c>
      <c r="H43" s="68"/>
      <c r="I43" s="48"/>
      <c r="J43" s="36">
        <f t="shared" si="1"/>
        <v>33</v>
      </c>
    </row>
    <row r="44" spans="1:12" x14ac:dyDescent="0.25">
      <c r="A44" s="36">
        <f t="shared" si="0"/>
        <v>34</v>
      </c>
      <c r="D44" s="36" t="s">
        <v>448</v>
      </c>
      <c r="E44" s="36" t="s">
        <v>449</v>
      </c>
      <c r="F44" s="36"/>
      <c r="G44" s="36" t="s">
        <v>450</v>
      </c>
      <c r="H44" s="36"/>
      <c r="I44" s="48"/>
      <c r="J44" s="36">
        <f t="shared" si="1"/>
        <v>34</v>
      </c>
    </row>
    <row r="45" spans="1:12" ht="18.75" x14ac:dyDescent="0.25">
      <c r="A45" s="36">
        <f t="shared" si="0"/>
        <v>35</v>
      </c>
      <c r="B45" s="41" t="s">
        <v>451</v>
      </c>
      <c r="C45" s="313" t="s">
        <v>452</v>
      </c>
      <c r="D45" s="313" t="s">
        <v>453</v>
      </c>
      <c r="E45" s="313" t="s">
        <v>454</v>
      </c>
      <c r="F45" s="313"/>
      <c r="G45" s="313" t="s">
        <v>455</v>
      </c>
      <c r="H45" s="36"/>
      <c r="I45" s="48"/>
      <c r="J45" s="36">
        <f t="shared" si="1"/>
        <v>35</v>
      </c>
    </row>
    <row r="46" spans="1:12" x14ac:dyDescent="0.25">
      <c r="A46" s="36">
        <f t="shared" si="0"/>
        <v>36</v>
      </c>
      <c r="I46" s="48"/>
      <c r="J46" s="36">
        <f t="shared" si="1"/>
        <v>36</v>
      </c>
    </row>
    <row r="47" spans="1:12" x14ac:dyDescent="0.25">
      <c r="A47" s="36">
        <f t="shared" si="0"/>
        <v>37</v>
      </c>
      <c r="B47" s="37" t="s">
        <v>456</v>
      </c>
      <c r="C47" s="60">
        <f>G17</f>
        <v>6040400.358</v>
      </c>
      <c r="D47" s="113">
        <f>C47/C$50</f>
        <v>0.43835028486472494</v>
      </c>
      <c r="E47" s="114">
        <f>G27</f>
        <v>3.9622448648295373E-2</v>
      </c>
      <c r="G47" s="115">
        <f>D47*E47</f>
        <v>1.7368511652018213E-2</v>
      </c>
      <c r="H47" s="115"/>
      <c r="I47" s="48" t="str">
        <f>"Col. c = Line "&amp;A27&amp;" Above"</f>
        <v>Col. c = Line 17 Above</v>
      </c>
      <c r="J47" s="36">
        <f t="shared" si="1"/>
        <v>37</v>
      </c>
    </row>
    <row r="48" spans="1:12" x14ac:dyDescent="0.25">
      <c r="A48" s="36">
        <f t="shared" si="0"/>
        <v>38</v>
      </c>
      <c r="B48" s="37" t="s">
        <v>457</v>
      </c>
      <c r="C48" s="116">
        <f>G30</f>
        <v>0</v>
      </c>
      <c r="D48" s="113">
        <f>C48/C$50</f>
        <v>0</v>
      </c>
      <c r="E48" s="114">
        <f>G32</f>
        <v>0</v>
      </c>
      <c r="G48" s="115">
        <f>D48*E48</f>
        <v>0</v>
      </c>
      <c r="H48" s="115"/>
      <c r="I48" s="48" t="str">
        <f>"Col. c = Line "&amp;A32&amp;" Above"</f>
        <v>Col. c = Line 22 Above</v>
      </c>
      <c r="J48" s="36">
        <f t="shared" si="1"/>
        <v>38</v>
      </c>
    </row>
    <row r="49" spans="1:10" x14ac:dyDescent="0.25">
      <c r="A49" s="36">
        <f t="shared" si="0"/>
        <v>39</v>
      </c>
      <c r="B49" s="37" t="s">
        <v>458</v>
      </c>
      <c r="C49" s="116">
        <f>G39</f>
        <v>7739447.7829999998</v>
      </c>
      <c r="D49" s="350">
        <f>C49/C$50</f>
        <v>0.56164971513527517</v>
      </c>
      <c r="E49" s="117">
        <f>G42</f>
        <v>0.106</v>
      </c>
      <c r="G49" s="351">
        <f>D49*E49</f>
        <v>5.9534869804339169E-2</v>
      </c>
      <c r="H49" s="106"/>
      <c r="I49" s="48" t="str">
        <f>"Col. c = Line "&amp;A42&amp;" Above"</f>
        <v>Col. c = Line 32 Above</v>
      </c>
      <c r="J49" s="36">
        <f t="shared" si="1"/>
        <v>39</v>
      </c>
    </row>
    <row r="50" spans="1:10" ht="16.5" thickBot="1" x14ac:dyDescent="0.3">
      <c r="A50" s="36">
        <f t="shared" si="0"/>
        <v>40</v>
      </c>
      <c r="B50" s="37" t="s">
        <v>459</v>
      </c>
      <c r="C50" s="118">
        <f>SUM(C47:C49)</f>
        <v>13779848.140999999</v>
      </c>
      <c r="D50" s="119">
        <f>SUM(D47:D49)</f>
        <v>1</v>
      </c>
      <c r="G50" s="105">
        <f>SUM(G47:G49)</f>
        <v>7.6903381456357389E-2</v>
      </c>
      <c r="H50" s="106"/>
      <c r="I50" s="48" t="str">
        <f>"Sum Lines "&amp;A47&amp;" thru "&amp;A49</f>
        <v>Sum Lines 37 thru 39</v>
      </c>
      <c r="J50" s="36">
        <f t="shared" si="1"/>
        <v>40</v>
      </c>
    </row>
    <row r="51" spans="1:10" ht="16.5" thickTop="1" x14ac:dyDescent="0.25">
      <c r="A51" s="36">
        <f t="shared" si="0"/>
        <v>41</v>
      </c>
      <c r="I51" s="48"/>
      <c r="J51" s="36">
        <f t="shared" si="1"/>
        <v>41</v>
      </c>
    </row>
    <row r="52" spans="1:10" ht="16.5" thickBot="1" x14ac:dyDescent="0.3">
      <c r="A52" s="36">
        <f t="shared" si="0"/>
        <v>42</v>
      </c>
      <c r="B52" s="41" t="s">
        <v>460</v>
      </c>
      <c r="G52" s="105">
        <f>G48+G49</f>
        <v>5.9534869804339169E-2</v>
      </c>
      <c r="H52" s="106"/>
      <c r="I52" s="48" t="str">
        <f>"Line "&amp;A48&amp;" + Line "&amp;A49&amp;"; Col. d"</f>
        <v>Line 38 + Line 39; Col. d</v>
      </c>
      <c r="J52" s="36">
        <f t="shared" si="1"/>
        <v>42</v>
      </c>
    </row>
    <row r="53" spans="1:10" ht="17.25" thickTop="1" thickBot="1" x14ac:dyDescent="0.3">
      <c r="A53" s="110">
        <f t="shared" si="0"/>
        <v>43</v>
      </c>
      <c r="B53" s="123"/>
      <c r="C53" s="83"/>
      <c r="D53" s="83"/>
      <c r="E53" s="83"/>
      <c r="F53" s="83"/>
      <c r="G53" s="352"/>
      <c r="H53" s="352"/>
      <c r="I53" s="111"/>
      <c r="J53" s="110">
        <f t="shared" si="1"/>
        <v>43</v>
      </c>
    </row>
    <row r="54" spans="1:10" x14ac:dyDescent="0.25">
      <c r="A54" s="36">
        <f t="shared" si="0"/>
        <v>44</v>
      </c>
      <c r="B54" s="41"/>
      <c r="G54" s="117"/>
      <c r="H54" s="117"/>
      <c r="I54" s="48"/>
      <c r="J54" s="36">
        <f t="shared" si="1"/>
        <v>44</v>
      </c>
    </row>
    <row r="55" spans="1:10" ht="16.5" thickBot="1" x14ac:dyDescent="0.3">
      <c r="A55" s="36">
        <f t="shared" si="0"/>
        <v>45</v>
      </c>
      <c r="B55" s="41" t="s">
        <v>461</v>
      </c>
      <c r="G55" s="353">
        <v>0</v>
      </c>
      <c r="H55" s="117"/>
      <c r="I55" s="48" t="s">
        <v>265</v>
      </c>
      <c r="J55" s="36">
        <f t="shared" si="1"/>
        <v>45</v>
      </c>
    </row>
    <row r="56" spans="1:10" ht="16.5" thickTop="1" x14ac:dyDescent="0.25">
      <c r="A56" s="36">
        <f t="shared" si="0"/>
        <v>46</v>
      </c>
      <c r="C56" s="68" t="s">
        <v>288</v>
      </c>
      <c r="D56" s="68" t="s">
        <v>289</v>
      </c>
      <c r="E56" s="68" t="s">
        <v>446</v>
      </c>
      <c r="F56" s="68"/>
      <c r="G56" s="68" t="s">
        <v>447</v>
      </c>
      <c r="H56" s="117"/>
      <c r="I56" s="48"/>
      <c r="J56" s="36">
        <f t="shared" si="1"/>
        <v>46</v>
      </c>
    </row>
    <row r="57" spans="1:10" x14ac:dyDescent="0.25">
      <c r="A57" s="36">
        <f t="shared" si="0"/>
        <v>47</v>
      </c>
      <c r="D57" s="36" t="s">
        <v>448</v>
      </c>
      <c r="E57" s="36" t="s">
        <v>449</v>
      </c>
      <c r="F57" s="36"/>
      <c r="G57" s="36" t="s">
        <v>450</v>
      </c>
      <c r="H57" s="117"/>
      <c r="I57" s="48"/>
      <c r="J57" s="36">
        <f t="shared" si="1"/>
        <v>47</v>
      </c>
    </row>
    <row r="58" spans="1:10" ht="18.75" x14ac:dyDescent="0.25">
      <c r="A58" s="36">
        <f t="shared" si="0"/>
        <v>48</v>
      </c>
      <c r="B58" s="41" t="s">
        <v>462</v>
      </c>
      <c r="C58" s="313" t="s">
        <v>452</v>
      </c>
      <c r="D58" s="313" t="s">
        <v>453</v>
      </c>
      <c r="E58" s="313" t="s">
        <v>454</v>
      </c>
      <c r="F58" s="313"/>
      <c r="G58" s="313" t="s">
        <v>455</v>
      </c>
      <c r="H58" s="117"/>
      <c r="I58" s="48"/>
      <c r="J58" s="36">
        <f t="shared" si="1"/>
        <v>48</v>
      </c>
    </row>
    <row r="59" spans="1:10" x14ac:dyDescent="0.25">
      <c r="A59" s="36">
        <f t="shared" si="0"/>
        <v>49</v>
      </c>
      <c r="G59" s="117"/>
      <c r="H59" s="117"/>
      <c r="I59" s="48"/>
      <c r="J59" s="36">
        <f t="shared" si="1"/>
        <v>49</v>
      </c>
    </row>
    <row r="60" spans="1:10" x14ac:dyDescent="0.25">
      <c r="A60" s="36">
        <f t="shared" si="0"/>
        <v>50</v>
      </c>
      <c r="B60" s="37" t="s">
        <v>456</v>
      </c>
      <c r="C60" s="354">
        <v>0</v>
      </c>
      <c r="D60" s="355">
        <v>0</v>
      </c>
      <c r="E60" s="120">
        <v>0</v>
      </c>
      <c r="G60" s="115">
        <f>D60*E60</f>
        <v>0</v>
      </c>
      <c r="H60" s="117"/>
      <c r="I60" s="48" t="s">
        <v>265</v>
      </c>
      <c r="J60" s="36">
        <f t="shared" si="1"/>
        <v>50</v>
      </c>
    </row>
    <row r="61" spans="1:10" x14ac:dyDescent="0.25">
      <c r="A61" s="36">
        <f t="shared" si="0"/>
        <v>51</v>
      </c>
      <c r="B61" s="37" t="s">
        <v>457</v>
      </c>
      <c r="C61" s="356">
        <v>0</v>
      </c>
      <c r="D61" s="355">
        <v>0</v>
      </c>
      <c r="E61" s="120">
        <v>0</v>
      </c>
      <c r="G61" s="115">
        <f>D61*E61</f>
        <v>0</v>
      </c>
      <c r="H61" s="117"/>
      <c r="I61" s="48" t="s">
        <v>265</v>
      </c>
      <c r="J61" s="36">
        <f t="shared" si="1"/>
        <v>51</v>
      </c>
    </row>
    <row r="62" spans="1:10" x14ac:dyDescent="0.25">
      <c r="A62" s="36">
        <f t="shared" si="0"/>
        <v>52</v>
      </c>
      <c r="B62" s="37" t="s">
        <v>458</v>
      </c>
      <c r="C62" s="356">
        <v>0</v>
      </c>
      <c r="D62" s="357">
        <v>0</v>
      </c>
      <c r="E62" s="358">
        <v>0</v>
      </c>
      <c r="G62" s="351">
        <f>D62*E62</f>
        <v>0</v>
      </c>
      <c r="H62" s="117"/>
      <c r="I62" s="48" t="s">
        <v>265</v>
      </c>
      <c r="J62" s="36">
        <f t="shared" si="1"/>
        <v>52</v>
      </c>
    </row>
    <row r="63" spans="1:10" ht="16.5" thickBot="1" x14ac:dyDescent="0.3">
      <c r="A63" s="36">
        <f t="shared" si="0"/>
        <v>53</v>
      </c>
      <c r="B63" s="37" t="s">
        <v>459</v>
      </c>
      <c r="C63" s="118">
        <f>SUM(C60:C62)</f>
        <v>0</v>
      </c>
      <c r="D63" s="105">
        <f>SUM(D60:D62)</f>
        <v>0</v>
      </c>
      <c r="G63" s="105">
        <f>SUM(G60:G62)</f>
        <v>0</v>
      </c>
      <c r="H63" s="117"/>
      <c r="I63" s="48" t="str">
        <f>"Sum Lines "&amp;A60&amp;" thru "&amp;A62</f>
        <v>Sum Lines 50 thru 52</v>
      </c>
      <c r="J63" s="36">
        <f t="shared" si="1"/>
        <v>53</v>
      </c>
    </row>
    <row r="64" spans="1:10" ht="16.5" thickTop="1" x14ac:dyDescent="0.25">
      <c r="A64" s="36">
        <f t="shared" si="0"/>
        <v>54</v>
      </c>
      <c r="H64" s="117"/>
      <c r="I64" s="48"/>
      <c r="J64" s="36">
        <f t="shared" si="1"/>
        <v>54</v>
      </c>
    </row>
    <row r="65" spans="1:10" ht="16.5" thickBot="1" x14ac:dyDescent="0.3">
      <c r="A65" s="36">
        <f t="shared" si="0"/>
        <v>55</v>
      </c>
      <c r="B65" s="41" t="s">
        <v>463</v>
      </c>
      <c r="G65" s="105">
        <f>G61+G62</f>
        <v>0</v>
      </c>
      <c r="H65" s="117"/>
      <c r="I65" s="48" t="str">
        <f>"Line "&amp;A61&amp;" + Line "&amp;A62&amp;"; Col. d"</f>
        <v>Line 51 + Line 52; Col. d</v>
      </c>
      <c r="J65" s="36">
        <f t="shared" si="1"/>
        <v>55</v>
      </c>
    </row>
    <row r="66" spans="1:10" ht="16.5" thickTop="1" x14ac:dyDescent="0.25">
      <c r="B66" s="41"/>
      <c r="G66" s="117"/>
      <c r="H66" s="117"/>
      <c r="I66" s="48"/>
      <c r="J66" s="36"/>
    </row>
    <row r="67" spans="1:10" x14ac:dyDescent="0.25">
      <c r="B67" s="41"/>
      <c r="G67" s="117"/>
      <c r="H67" s="117"/>
      <c r="I67" s="48"/>
      <c r="J67" s="36"/>
    </row>
    <row r="68" spans="1:10" ht="18.75" x14ac:dyDescent="0.25">
      <c r="A68" s="67">
        <v>1</v>
      </c>
      <c r="B68" s="18" t="s">
        <v>464</v>
      </c>
      <c r="G68" s="63"/>
      <c r="H68" s="63"/>
      <c r="J68" s="36" t="s">
        <v>228</v>
      </c>
    </row>
    <row r="69" spans="1:10" ht="18.75" x14ac:dyDescent="0.25">
      <c r="A69" s="67"/>
      <c r="B69" s="18"/>
      <c r="G69" s="63"/>
      <c r="H69" s="63"/>
      <c r="J69" s="36"/>
    </row>
    <row r="70" spans="1:10" ht="18.75" x14ac:dyDescent="0.25">
      <c r="A70" s="67"/>
      <c r="B70" s="18"/>
      <c r="D70" s="36"/>
      <c r="G70" s="63"/>
      <c r="H70" s="63"/>
      <c r="J70" s="36"/>
    </row>
    <row r="71" spans="1:10" x14ac:dyDescent="0.25">
      <c r="B71" s="808" t="s">
        <v>401</v>
      </c>
      <c r="C71" s="808"/>
      <c r="D71" s="808"/>
      <c r="E71" s="808"/>
      <c r="F71" s="808"/>
      <c r="G71" s="808"/>
      <c r="H71" s="808"/>
      <c r="I71" s="808"/>
      <c r="J71" s="36"/>
    </row>
    <row r="72" spans="1:10" x14ac:dyDescent="0.25">
      <c r="B72" s="808" t="s">
        <v>402</v>
      </c>
      <c r="C72" s="808"/>
      <c r="D72" s="808"/>
      <c r="E72" s="808"/>
      <c r="F72" s="808"/>
      <c r="G72" s="808"/>
      <c r="H72" s="808"/>
      <c r="I72" s="808"/>
      <c r="J72" s="36"/>
    </row>
    <row r="73" spans="1:10" x14ac:dyDescent="0.25">
      <c r="B73" s="808" t="s">
        <v>403</v>
      </c>
      <c r="C73" s="808"/>
      <c r="D73" s="808"/>
      <c r="E73" s="808"/>
      <c r="F73" s="808"/>
      <c r="G73" s="808"/>
      <c r="H73" s="808"/>
      <c r="I73" s="808"/>
      <c r="J73" s="36"/>
    </row>
    <row r="74" spans="1:10" x14ac:dyDescent="0.25">
      <c r="B74" s="811" t="str">
        <f>B5</f>
        <v>Base Period &amp; True-Up Period 12 - Months Ending December 31, 2020</v>
      </c>
      <c r="C74" s="811"/>
      <c r="D74" s="811"/>
      <c r="E74" s="811"/>
      <c r="F74" s="811"/>
      <c r="G74" s="811"/>
      <c r="H74" s="811"/>
      <c r="I74" s="811"/>
      <c r="J74" s="36"/>
    </row>
    <row r="75" spans="1:10" x14ac:dyDescent="0.25">
      <c r="B75" s="810" t="s">
        <v>3</v>
      </c>
      <c r="C75" s="812"/>
      <c r="D75" s="812"/>
      <c r="E75" s="812"/>
      <c r="F75" s="812"/>
      <c r="G75" s="812"/>
      <c r="H75" s="812"/>
      <c r="I75" s="812"/>
      <c r="J75" s="36"/>
    </row>
    <row r="76" spans="1:10" x14ac:dyDescent="0.25">
      <c r="B76" s="36"/>
      <c r="C76" s="36"/>
      <c r="D76" s="36"/>
      <c r="E76" s="36"/>
      <c r="F76" s="36"/>
      <c r="G76" s="36"/>
      <c r="H76" s="36"/>
      <c r="I76" s="48"/>
      <c r="J76" s="36"/>
    </row>
    <row r="77" spans="1:10" x14ac:dyDescent="0.25">
      <c r="A77" s="36" t="s">
        <v>4</v>
      </c>
      <c r="B77" s="369"/>
      <c r="C77" s="369"/>
      <c r="D77" s="369"/>
      <c r="E77" s="369"/>
      <c r="F77" s="369"/>
      <c r="G77" s="369"/>
      <c r="H77" s="369"/>
      <c r="I77" s="48"/>
      <c r="J77" s="36" t="s">
        <v>4</v>
      </c>
    </row>
    <row r="78" spans="1:10" x14ac:dyDescent="0.25">
      <c r="A78" s="36" t="s">
        <v>5</v>
      </c>
      <c r="B78" s="36"/>
      <c r="C78" s="36"/>
      <c r="D78" s="36"/>
      <c r="E78" s="36"/>
      <c r="F78" s="36"/>
      <c r="G78" s="313" t="s">
        <v>7</v>
      </c>
      <c r="H78" s="369"/>
      <c r="I78" s="347" t="s">
        <v>8</v>
      </c>
      <c r="J78" s="36" t="s">
        <v>5</v>
      </c>
    </row>
    <row r="79" spans="1:10" x14ac:dyDescent="0.25">
      <c r="G79" s="36"/>
      <c r="H79" s="36"/>
      <c r="I79" s="48"/>
      <c r="J79" s="36"/>
    </row>
    <row r="80" spans="1:10" ht="18.75" x14ac:dyDescent="0.25">
      <c r="A80" s="36">
        <v>1</v>
      </c>
      <c r="B80" s="41" t="s">
        <v>465</v>
      </c>
      <c r="E80" s="369"/>
      <c r="F80" s="369"/>
      <c r="G80" s="124"/>
      <c r="H80" s="124"/>
      <c r="I80" s="48"/>
      <c r="J80" s="36">
        <v>1</v>
      </c>
    </row>
    <row r="81" spans="1:13" x14ac:dyDescent="0.25">
      <c r="A81" s="36">
        <f>A80+1</f>
        <v>2</v>
      </c>
      <c r="B81" s="125"/>
      <c r="E81" s="369"/>
      <c r="F81" s="369"/>
      <c r="G81" s="124"/>
      <c r="H81" s="124"/>
      <c r="I81" s="48"/>
      <c r="J81" s="36">
        <f>J80+1</f>
        <v>2</v>
      </c>
    </row>
    <row r="82" spans="1:13" x14ac:dyDescent="0.25">
      <c r="A82" s="36">
        <f>A81+1</f>
        <v>3</v>
      </c>
      <c r="B82" s="41" t="s">
        <v>466</v>
      </c>
      <c r="E82" s="369"/>
      <c r="F82" s="369"/>
      <c r="G82" s="124"/>
      <c r="H82" s="124"/>
      <c r="I82" s="48"/>
      <c r="J82" s="36">
        <f>J81+1</f>
        <v>3</v>
      </c>
    </row>
    <row r="83" spans="1:13" x14ac:dyDescent="0.25">
      <c r="A83" s="36">
        <f>A82+1</f>
        <v>4</v>
      </c>
      <c r="B83" s="369"/>
      <c r="C83" s="369"/>
      <c r="D83" s="369"/>
      <c r="E83" s="369"/>
      <c r="F83" s="369"/>
      <c r="G83" s="124"/>
      <c r="H83" s="124"/>
      <c r="I83" s="48"/>
      <c r="J83" s="36">
        <f>J82+1</f>
        <v>4</v>
      </c>
    </row>
    <row r="84" spans="1:13" x14ac:dyDescent="0.25">
      <c r="A84" s="36">
        <f t="shared" ref="A84:A110" si="2">A83+1</f>
        <v>5</v>
      </c>
      <c r="B84" s="43" t="s">
        <v>467</v>
      </c>
      <c r="C84" s="369"/>
      <c r="D84" s="369"/>
      <c r="E84" s="369"/>
      <c r="F84" s="369"/>
      <c r="G84" s="124"/>
      <c r="H84" s="124"/>
      <c r="I84" s="126"/>
      <c r="J84" s="36">
        <f t="shared" ref="J84:J110" si="3">J83+1</f>
        <v>5</v>
      </c>
    </row>
    <row r="85" spans="1:13" x14ac:dyDescent="0.25">
      <c r="A85" s="36">
        <f t="shared" si="2"/>
        <v>6</v>
      </c>
      <c r="B85" s="37" t="s">
        <v>468</v>
      </c>
      <c r="D85" s="369"/>
      <c r="E85" s="369"/>
      <c r="F85" s="369"/>
      <c r="G85" s="127">
        <f>G52</f>
        <v>5.9534869804339169E-2</v>
      </c>
      <c r="H85" s="369"/>
      <c r="I85" s="48" t="s">
        <v>469</v>
      </c>
      <c r="J85" s="36">
        <f t="shared" si="3"/>
        <v>6</v>
      </c>
      <c r="L85" s="36"/>
    </row>
    <row r="86" spans="1:13" x14ac:dyDescent="0.25">
      <c r="A86" s="36">
        <f t="shared" si="2"/>
        <v>7</v>
      </c>
      <c r="B86" s="37" t="s">
        <v>470</v>
      </c>
      <c r="D86" s="369"/>
      <c r="E86" s="369"/>
      <c r="F86" s="369"/>
      <c r="G86" s="128">
        <v>3401.5196755720262</v>
      </c>
      <c r="H86" s="25"/>
      <c r="I86" s="48" t="s">
        <v>471</v>
      </c>
      <c r="J86" s="36">
        <f t="shared" si="3"/>
        <v>7</v>
      </c>
      <c r="L86" s="36"/>
    </row>
    <row r="87" spans="1:13" ht="18.75" x14ac:dyDescent="0.25">
      <c r="A87" s="36">
        <f t="shared" si="2"/>
        <v>8</v>
      </c>
      <c r="B87" s="37" t="s">
        <v>472</v>
      </c>
      <c r="D87" s="369"/>
      <c r="E87" s="369"/>
      <c r="F87" s="369"/>
      <c r="G87" s="129">
        <v>8264.7629899999993</v>
      </c>
      <c r="H87" s="369"/>
      <c r="I87" s="122" t="s">
        <v>473</v>
      </c>
      <c r="J87" s="36">
        <f t="shared" si="3"/>
        <v>8</v>
      </c>
      <c r="L87" s="369"/>
    </row>
    <row r="88" spans="1:13" x14ac:dyDescent="0.25">
      <c r="A88" s="36">
        <f t="shared" si="2"/>
        <v>9</v>
      </c>
      <c r="B88" s="37" t="s">
        <v>474</v>
      </c>
      <c r="D88" s="369"/>
      <c r="E88" s="130"/>
      <c r="F88" s="369"/>
      <c r="G88" s="131">
        <f>'Pg12 Rev AV-4'!C36</f>
        <v>4556301.461684891</v>
      </c>
      <c r="H88" s="25" t="s">
        <v>31</v>
      </c>
      <c r="I88" s="122" t="s">
        <v>612</v>
      </c>
      <c r="J88" s="36">
        <f t="shared" si="3"/>
        <v>9</v>
      </c>
    </row>
    <row r="89" spans="1:13" x14ac:dyDescent="0.25">
      <c r="A89" s="36">
        <f t="shared" si="2"/>
        <v>10</v>
      </c>
      <c r="B89" s="37" t="s">
        <v>476</v>
      </c>
      <c r="D89" s="132"/>
      <c r="E89" s="369"/>
      <c r="F89" s="369"/>
      <c r="G89" s="359">
        <v>0.21</v>
      </c>
      <c r="H89" s="369"/>
      <c r="I89" s="48" t="s">
        <v>477</v>
      </c>
      <c r="J89" s="36">
        <f t="shared" si="3"/>
        <v>10</v>
      </c>
      <c r="M89" s="133"/>
    </row>
    <row r="90" spans="1:13" x14ac:dyDescent="0.25">
      <c r="A90" s="36">
        <f t="shared" si="2"/>
        <v>11</v>
      </c>
      <c r="G90" s="36"/>
      <c r="H90" s="36"/>
      <c r="J90" s="36">
        <f t="shared" si="3"/>
        <v>11</v>
      </c>
    </row>
    <row r="91" spans="1:13" x14ac:dyDescent="0.25">
      <c r="A91" s="36">
        <f t="shared" si="2"/>
        <v>12</v>
      </c>
      <c r="B91" s="37" t="s">
        <v>478</v>
      </c>
      <c r="D91" s="369"/>
      <c r="E91" s="369"/>
      <c r="F91" s="369"/>
      <c r="G91" s="134">
        <f>(((G85)+(G87/G88))*G89-(G86/G88))/(1-G89)</f>
        <v>1.5362902393197871E-2</v>
      </c>
      <c r="H91" s="25"/>
      <c r="I91" s="48" t="s">
        <v>479</v>
      </c>
      <c r="J91" s="36">
        <f t="shared" si="3"/>
        <v>12</v>
      </c>
      <c r="M91" s="135"/>
    </row>
    <row r="92" spans="1:13" x14ac:dyDescent="0.25">
      <c r="A92" s="36">
        <f t="shared" si="2"/>
        <v>13</v>
      </c>
      <c r="B92" s="136" t="s">
        <v>480</v>
      </c>
      <c r="G92" s="36"/>
      <c r="H92" s="36"/>
      <c r="J92" s="36">
        <f t="shared" si="3"/>
        <v>13</v>
      </c>
    </row>
    <row r="93" spans="1:13" x14ac:dyDescent="0.25">
      <c r="A93" s="36">
        <f t="shared" si="2"/>
        <v>14</v>
      </c>
      <c r="G93" s="36"/>
      <c r="H93" s="36"/>
      <c r="J93" s="36">
        <f t="shared" si="3"/>
        <v>14</v>
      </c>
    </row>
    <row r="94" spans="1:13" x14ac:dyDescent="0.25">
      <c r="A94" s="36">
        <f t="shared" si="2"/>
        <v>15</v>
      </c>
      <c r="B94" s="41" t="s">
        <v>481</v>
      </c>
      <c r="C94" s="369"/>
      <c r="D94" s="369"/>
      <c r="E94" s="369"/>
      <c r="F94" s="369"/>
      <c r="G94" s="137"/>
      <c r="H94" s="137"/>
      <c r="I94" s="138"/>
      <c r="J94" s="36">
        <f t="shared" si="3"/>
        <v>15</v>
      </c>
      <c r="L94" s="139"/>
    </row>
    <row r="95" spans="1:13" x14ac:dyDescent="0.25">
      <c r="A95" s="36">
        <f t="shared" si="2"/>
        <v>16</v>
      </c>
      <c r="B95" s="53"/>
      <c r="C95" s="369"/>
      <c r="D95" s="369"/>
      <c r="E95" s="369"/>
      <c r="F95" s="369"/>
      <c r="G95" s="137"/>
      <c r="H95" s="137"/>
      <c r="I95" s="140"/>
      <c r="J95" s="36">
        <f t="shared" si="3"/>
        <v>16</v>
      </c>
      <c r="L95" s="369"/>
    </row>
    <row r="96" spans="1:13" x14ac:dyDescent="0.25">
      <c r="A96" s="36">
        <f t="shared" si="2"/>
        <v>17</v>
      </c>
      <c r="B96" s="43" t="s">
        <v>467</v>
      </c>
      <c r="C96" s="369"/>
      <c r="D96" s="369"/>
      <c r="E96" s="369"/>
      <c r="F96" s="369"/>
      <c r="G96" s="137"/>
      <c r="H96" s="137"/>
      <c r="I96" s="140"/>
      <c r="J96" s="36">
        <f t="shared" si="3"/>
        <v>17</v>
      </c>
      <c r="L96" s="369"/>
    </row>
    <row r="97" spans="1:13" x14ac:dyDescent="0.25">
      <c r="A97" s="36">
        <f t="shared" si="2"/>
        <v>18</v>
      </c>
      <c r="B97" s="37" t="s">
        <v>468</v>
      </c>
      <c r="D97" s="369"/>
      <c r="E97" s="369"/>
      <c r="F97" s="369"/>
      <c r="G97" s="113">
        <f>G85</f>
        <v>5.9534869804339169E-2</v>
      </c>
      <c r="H97" s="113"/>
      <c r="I97" s="48" t="str">
        <f>"Line "&amp;A85&amp;" Above"</f>
        <v>Line 6 Above</v>
      </c>
      <c r="J97" s="36">
        <f t="shared" si="3"/>
        <v>18</v>
      </c>
      <c r="L97" s="36"/>
    </row>
    <row r="98" spans="1:13" x14ac:dyDescent="0.25">
      <c r="A98" s="36">
        <f t="shared" si="2"/>
        <v>19</v>
      </c>
      <c r="B98" s="37" t="s">
        <v>482</v>
      </c>
      <c r="D98" s="369"/>
      <c r="E98" s="369"/>
      <c r="F98" s="369"/>
      <c r="G98" s="141">
        <f>G87</f>
        <v>8264.7629899999993</v>
      </c>
      <c r="H98" s="141"/>
      <c r="I98" s="48" t="str">
        <f>"Line "&amp;A87&amp;" Above"</f>
        <v>Line 8 Above</v>
      </c>
      <c r="J98" s="36">
        <f t="shared" si="3"/>
        <v>19</v>
      </c>
      <c r="L98" s="36"/>
    </row>
    <row r="99" spans="1:13" x14ac:dyDescent="0.25">
      <c r="A99" s="36">
        <f t="shared" si="2"/>
        <v>20</v>
      </c>
      <c r="B99" s="37" t="s">
        <v>483</v>
      </c>
      <c r="D99" s="369"/>
      <c r="E99" s="369"/>
      <c r="F99" s="369"/>
      <c r="G99" s="142">
        <f>G88</f>
        <v>4556301.461684891</v>
      </c>
      <c r="H99" s="25" t="s">
        <v>31</v>
      </c>
      <c r="I99" s="48" t="str">
        <f>"Line "&amp;A88&amp;" Above"</f>
        <v>Line 9 Above</v>
      </c>
      <c r="J99" s="36">
        <f t="shared" si="3"/>
        <v>20</v>
      </c>
      <c r="L99" s="36"/>
    </row>
    <row r="100" spans="1:13" x14ac:dyDescent="0.25">
      <c r="A100" s="36">
        <f t="shared" si="2"/>
        <v>21</v>
      </c>
      <c r="B100" s="37" t="s">
        <v>484</v>
      </c>
      <c r="D100" s="369"/>
      <c r="E100" s="369"/>
      <c r="F100" s="369"/>
      <c r="G100" s="143">
        <f>G91</f>
        <v>1.5362902393197871E-2</v>
      </c>
      <c r="H100" s="143"/>
      <c r="I100" s="48" t="str">
        <f>"Line "&amp;A91&amp;" Above"</f>
        <v>Line 12 Above</v>
      </c>
      <c r="J100" s="36">
        <f t="shared" si="3"/>
        <v>21</v>
      </c>
    </row>
    <row r="101" spans="1:13" x14ac:dyDescent="0.25">
      <c r="A101" s="36">
        <f t="shared" si="2"/>
        <v>22</v>
      </c>
      <c r="B101" s="37" t="s">
        <v>485</v>
      </c>
      <c r="D101" s="369"/>
      <c r="E101" s="369"/>
      <c r="F101" s="369"/>
      <c r="G101" s="385">
        <v>8.8400000000000006E-2</v>
      </c>
      <c r="H101" s="369"/>
      <c r="I101" s="48" t="s">
        <v>486</v>
      </c>
      <c r="J101" s="36">
        <f t="shared" si="3"/>
        <v>22</v>
      </c>
    </row>
    <row r="102" spans="1:13" x14ac:dyDescent="0.25">
      <c r="A102" s="36">
        <f t="shared" si="2"/>
        <v>23</v>
      </c>
      <c r="B102" s="607"/>
      <c r="D102" s="369"/>
      <c r="E102" s="369"/>
      <c r="F102" s="369"/>
      <c r="G102" s="144"/>
      <c r="H102" s="144"/>
      <c r="I102" s="140"/>
      <c r="J102" s="36">
        <f t="shared" si="3"/>
        <v>23</v>
      </c>
    </row>
    <row r="103" spans="1:13" x14ac:dyDescent="0.25">
      <c r="A103" s="36">
        <f t="shared" si="2"/>
        <v>24</v>
      </c>
      <c r="B103" s="37" t="s">
        <v>487</v>
      </c>
      <c r="C103" s="36"/>
      <c r="D103" s="36"/>
      <c r="E103" s="369"/>
      <c r="F103" s="369"/>
      <c r="G103" s="360">
        <f>((G97)+(G98/G99)+G91)*G101/(1-G101)</f>
        <v>7.4389134764407646E-3</v>
      </c>
      <c r="H103" s="25"/>
      <c r="I103" s="48" t="s">
        <v>488</v>
      </c>
      <c r="J103" s="36">
        <f t="shared" si="3"/>
        <v>24</v>
      </c>
    </row>
    <row r="104" spans="1:13" x14ac:dyDescent="0.25">
      <c r="A104" s="36">
        <f t="shared" si="2"/>
        <v>25</v>
      </c>
      <c r="B104" s="136" t="s">
        <v>489</v>
      </c>
      <c r="G104" s="36"/>
      <c r="H104" s="36"/>
      <c r="I104" s="48"/>
      <c r="J104" s="36">
        <f t="shared" si="3"/>
        <v>25</v>
      </c>
      <c r="L104" s="36"/>
    </row>
    <row r="105" spans="1:13" x14ac:dyDescent="0.25">
      <c r="A105" s="36">
        <f t="shared" si="2"/>
        <v>26</v>
      </c>
      <c r="G105" s="36"/>
      <c r="H105" s="36"/>
      <c r="I105" s="48"/>
      <c r="J105" s="36">
        <f t="shared" si="3"/>
        <v>26</v>
      </c>
      <c r="L105" s="36"/>
    </row>
    <row r="106" spans="1:13" x14ac:dyDescent="0.25">
      <c r="A106" s="36">
        <f t="shared" si="2"/>
        <v>27</v>
      </c>
      <c r="B106" s="41" t="s">
        <v>490</v>
      </c>
      <c r="G106" s="134">
        <f>G103+G91</f>
        <v>2.2801815869638635E-2</v>
      </c>
      <c r="H106" s="25"/>
      <c r="I106" s="48" t="str">
        <f>"Line "&amp;A91&amp;" + Line "&amp;A103</f>
        <v>Line 12 + Line 24</v>
      </c>
      <c r="J106" s="36">
        <f t="shared" si="3"/>
        <v>27</v>
      </c>
      <c r="L106" s="36"/>
    </row>
    <row r="107" spans="1:13" x14ac:dyDescent="0.25">
      <c r="A107" s="36">
        <f t="shared" si="2"/>
        <v>28</v>
      </c>
      <c r="G107" s="36"/>
      <c r="H107" s="36"/>
      <c r="I107" s="48"/>
      <c r="J107" s="36">
        <f t="shared" si="3"/>
        <v>28</v>
      </c>
      <c r="L107" s="36"/>
    </row>
    <row r="108" spans="1:13" x14ac:dyDescent="0.25">
      <c r="A108" s="36">
        <f t="shared" si="2"/>
        <v>29</v>
      </c>
      <c r="B108" s="41" t="s">
        <v>491</v>
      </c>
      <c r="G108" s="361">
        <f>G50</f>
        <v>7.6903381456357389E-2</v>
      </c>
      <c r="H108" s="369"/>
      <c r="I108" s="48" t="str">
        <f>"AV1; Line "&amp;A50</f>
        <v>AV1; Line 40</v>
      </c>
      <c r="J108" s="36">
        <f t="shared" si="3"/>
        <v>29</v>
      </c>
      <c r="L108" s="36"/>
    </row>
    <row r="109" spans="1:13" x14ac:dyDescent="0.25">
      <c r="A109" s="36">
        <f t="shared" si="2"/>
        <v>30</v>
      </c>
      <c r="G109" s="113"/>
      <c r="H109" s="113"/>
      <c r="I109" s="48"/>
      <c r="J109" s="36">
        <f t="shared" si="3"/>
        <v>30</v>
      </c>
      <c r="L109" s="36"/>
    </row>
    <row r="110" spans="1:13" ht="19.5" thickBot="1" x14ac:dyDescent="0.3">
      <c r="A110" s="36">
        <f t="shared" si="2"/>
        <v>31</v>
      </c>
      <c r="B110" s="41" t="s">
        <v>492</v>
      </c>
      <c r="G110" s="146">
        <f>G106+G108</f>
        <v>9.9705197325996031E-2</v>
      </c>
      <c r="H110" s="25"/>
      <c r="I110" s="48" t="str">
        <f>"Line "&amp;A106&amp;" + Line "&amp;A108</f>
        <v>Line 27 + Line 29</v>
      </c>
      <c r="J110" s="36">
        <f t="shared" si="3"/>
        <v>31</v>
      </c>
      <c r="L110" s="147"/>
      <c r="M110" s="135"/>
    </row>
    <row r="111" spans="1:13" ht="16.5" thickTop="1" x14ac:dyDescent="0.25">
      <c r="B111" s="41"/>
      <c r="G111" s="145"/>
      <c r="H111" s="145"/>
      <c r="I111" s="48"/>
      <c r="J111" s="36"/>
      <c r="L111" s="147"/>
      <c r="M111" s="135"/>
    </row>
    <row r="112" spans="1:13" x14ac:dyDescent="0.25">
      <c r="B112" s="41"/>
      <c r="G112" s="149"/>
      <c r="H112" s="149"/>
      <c r="I112" s="48"/>
      <c r="J112" s="36"/>
      <c r="L112" s="147"/>
      <c r="M112" s="135"/>
    </row>
    <row r="113" spans="1:13" x14ac:dyDescent="0.25">
      <c r="A113" s="25" t="s">
        <v>31</v>
      </c>
      <c r="B113" s="23" t="s">
        <v>630</v>
      </c>
      <c r="G113" s="149"/>
      <c r="H113" s="149"/>
      <c r="I113" s="48"/>
      <c r="J113" s="36"/>
      <c r="L113" s="147"/>
      <c r="M113" s="135"/>
    </row>
    <row r="114" spans="1:13" x14ac:dyDescent="0.25">
      <c r="A114" s="25"/>
      <c r="B114" s="23" t="s">
        <v>631</v>
      </c>
      <c r="G114" s="149"/>
      <c r="H114" s="149"/>
      <c r="I114" s="48"/>
      <c r="J114" s="36"/>
      <c r="L114" s="147"/>
      <c r="M114" s="135"/>
    </row>
    <row r="115" spans="1:13" ht="18.75" x14ac:dyDescent="0.25">
      <c r="A115" s="362">
        <v>1</v>
      </c>
      <c r="B115" s="18" t="s">
        <v>493</v>
      </c>
      <c r="G115" s="149"/>
      <c r="H115" s="149"/>
      <c r="I115" s="48"/>
      <c r="J115" s="36"/>
      <c r="L115" s="147"/>
      <c r="M115" s="135"/>
    </row>
    <row r="116" spans="1:13" ht="18.75" x14ac:dyDescent="0.25">
      <c r="A116" s="362"/>
      <c r="B116" s="18"/>
      <c r="G116" s="149"/>
      <c r="H116" s="149"/>
      <c r="I116" s="48"/>
      <c r="J116" s="36"/>
      <c r="L116" s="147"/>
      <c r="M116" s="135"/>
    </row>
    <row r="117" spans="1:13" x14ac:dyDescent="0.25">
      <c r="A117" s="150"/>
      <c r="B117" s="607"/>
      <c r="C117" s="38"/>
      <c r="D117" s="38"/>
      <c r="E117" s="38"/>
      <c r="F117" s="38"/>
      <c r="G117" s="151"/>
      <c r="H117" s="151"/>
      <c r="I117" s="363"/>
      <c r="J117" s="36"/>
    </row>
    <row r="118" spans="1:13" x14ac:dyDescent="0.25">
      <c r="B118" s="808" t="s">
        <v>19</v>
      </c>
      <c r="C118" s="808"/>
      <c r="D118" s="808"/>
      <c r="E118" s="808"/>
      <c r="F118" s="808"/>
      <c r="G118" s="808"/>
      <c r="H118" s="808"/>
      <c r="I118" s="808"/>
    </row>
    <row r="119" spans="1:13" x14ac:dyDescent="0.25">
      <c r="B119" s="808" t="s">
        <v>402</v>
      </c>
      <c r="C119" s="808"/>
      <c r="D119" s="808"/>
      <c r="E119" s="808"/>
      <c r="F119" s="808"/>
      <c r="G119" s="808"/>
      <c r="H119" s="808"/>
      <c r="I119" s="808"/>
    </row>
    <row r="120" spans="1:13" x14ac:dyDescent="0.25">
      <c r="B120" s="808" t="s">
        <v>403</v>
      </c>
      <c r="C120" s="808"/>
      <c r="D120" s="808"/>
      <c r="E120" s="808"/>
      <c r="F120" s="808"/>
      <c r="G120" s="808"/>
      <c r="H120" s="808"/>
      <c r="I120" s="808"/>
    </row>
    <row r="121" spans="1:13" x14ac:dyDescent="0.25">
      <c r="B121" s="811" t="str">
        <f>B5</f>
        <v>Base Period &amp; True-Up Period 12 - Months Ending December 31, 2020</v>
      </c>
      <c r="C121" s="811"/>
      <c r="D121" s="811"/>
      <c r="E121" s="811"/>
      <c r="F121" s="811"/>
      <c r="G121" s="811"/>
      <c r="H121" s="811"/>
      <c r="I121" s="811"/>
    </row>
    <row r="122" spans="1:13" x14ac:dyDescent="0.25">
      <c r="B122" s="810" t="s">
        <v>3</v>
      </c>
      <c r="C122" s="812"/>
      <c r="D122" s="812"/>
      <c r="E122" s="812"/>
      <c r="F122" s="812"/>
      <c r="G122" s="812"/>
      <c r="H122" s="812"/>
      <c r="I122" s="812"/>
    </row>
    <row r="124" spans="1:13" x14ac:dyDescent="0.25">
      <c r="A124" s="36" t="s">
        <v>4</v>
      </c>
      <c r="B124" s="369"/>
      <c r="C124" s="369"/>
      <c r="D124" s="369"/>
      <c r="E124" s="369"/>
      <c r="F124" s="369"/>
      <c r="G124" s="369"/>
      <c r="H124" s="369"/>
      <c r="I124" s="48"/>
      <c r="J124" s="36" t="s">
        <v>4</v>
      </c>
    </row>
    <row r="125" spans="1:13" x14ac:dyDescent="0.25">
      <c r="A125" s="36" t="s">
        <v>5</v>
      </c>
      <c r="B125" s="36"/>
      <c r="C125" s="36"/>
      <c r="D125" s="36"/>
      <c r="E125" s="36"/>
      <c r="F125" s="36"/>
      <c r="G125" s="313" t="s">
        <v>7</v>
      </c>
      <c r="H125" s="369"/>
      <c r="I125" s="347" t="s">
        <v>8</v>
      </c>
      <c r="J125" s="36" t="s">
        <v>5</v>
      </c>
    </row>
    <row r="127" spans="1:13" ht="18.75" x14ac:dyDescent="0.25">
      <c r="A127" s="36">
        <v>1</v>
      </c>
      <c r="B127" s="41" t="s">
        <v>494</v>
      </c>
      <c r="J127" s="36">
        <v>1</v>
      </c>
    </row>
    <row r="128" spans="1:13" x14ac:dyDescent="0.25">
      <c r="A128" s="36">
        <f>A127+1</f>
        <v>2</v>
      </c>
      <c r="B128" s="125"/>
      <c r="J128" s="36">
        <f>J127+1</f>
        <v>2</v>
      </c>
    </row>
    <row r="129" spans="1:10" x14ac:dyDescent="0.25">
      <c r="A129" s="36">
        <f>A128+1</f>
        <v>3</v>
      </c>
      <c r="B129" s="41" t="s">
        <v>466</v>
      </c>
      <c r="J129" s="36">
        <f>J128+1</f>
        <v>3</v>
      </c>
    </row>
    <row r="130" spans="1:10" x14ac:dyDescent="0.25">
      <c r="A130" s="36">
        <f>A129+1</f>
        <v>4</v>
      </c>
      <c r="B130" s="369"/>
      <c r="J130" s="36">
        <f>J129+1</f>
        <v>4</v>
      </c>
    </row>
    <row r="131" spans="1:10" x14ac:dyDescent="0.25">
      <c r="A131" s="36">
        <f t="shared" ref="A131:A157" si="4">A130+1</f>
        <v>5</v>
      </c>
      <c r="B131" s="43" t="s">
        <v>467</v>
      </c>
      <c r="J131" s="36">
        <f t="shared" ref="J131:J157" si="5">J130+1</f>
        <v>5</v>
      </c>
    </row>
    <row r="132" spans="1:10" x14ac:dyDescent="0.25">
      <c r="A132" s="36">
        <f t="shared" si="4"/>
        <v>6</v>
      </c>
      <c r="B132" s="37" t="str">
        <f>B85</f>
        <v xml:space="preserve">     A = Sum of Preferred Stock and Return on Equity Component</v>
      </c>
      <c r="G132" s="127">
        <f>G65</f>
        <v>0</v>
      </c>
      <c r="I132" s="48" t="str">
        <f>"AV1; Line "&amp;A65</f>
        <v>AV1; Line 55</v>
      </c>
      <c r="J132" s="36">
        <f t="shared" si="5"/>
        <v>6</v>
      </c>
    </row>
    <row r="133" spans="1:10" x14ac:dyDescent="0.25">
      <c r="A133" s="36">
        <f t="shared" si="4"/>
        <v>7</v>
      </c>
      <c r="B133" s="37" t="str">
        <f>B86</f>
        <v xml:space="preserve">     B = Transmission Total Federal Tax Adjustments</v>
      </c>
      <c r="G133" s="148">
        <v>0</v>
      </c>
      <c r="I133" s="122" t="s">
        <v>265</v>
      </c>
      <c r="J133" s="36">
        <f t="shared" si="5"/>
        <v>7</v>
      </c>
    </row>
    <row r="134" spans="1:10" x14ac:dyDescent="0.25">
      <c r="A134" s="36">
        <f t="shared" si="4"/>
        <v>8</v>
      </c>
      <c r="B134" s="37" t="s">
        <v>495</v>
      </c>
      <c r="G134" s="364">
        <v>0</v>
      </c>
      <c r="I134" s="122" t="s">
        <v>265</v>
      </c>
      <c r="J134" s="36">
        <f t="shared" si="5"/>
        <v>8</v>
      </c>
    </row>
    <row r="135" spans="1:10" x14ac:dyDescent="0.25">
      <c r="A135" s="36">
        <f t="shared" si="4"/>
        <v>9</v>
      </c>
      <c r="B135" s="37" t="s">
        <v>496</v>
      </c>
      <c r="G135" s="364">
        <v>0</v>
      </c>
      <c r="I135" s="122" t="s">
        <v>265</v>
      </c>
      <c r="J135" s="36">
        <f t="shared" si="5"/>
        <v>9</v>
      </c>
    </row>
    <row r="136" spans="1:10" x14ac:dyDescent="0.25">
      <c r="A136" s="36">
        <f t="shared" si="4"/>
        <v>10</v>
      </c>
      <c r="B136" s="37" t="str">
        <f>B89</f>
        <v xml:space="preserve">     FT = Federal Income Tax Rate for Rate Effective Period</v>
      </c>
      <c r="G136" s="365">
        <f>G89</f>
        <v>0.21</v>
      </c>
      <c r="I136" s="48" t="str">
        <f>"AV2; Line "&amp;A89</f>
        <v>AV2; Line 10</v>
      </c>
      <c r="J136" s="36">
        <f t="shared" si="5"/>
        <v>10</v>
      </c>
    </row>
    <row r="137" spans="1:10" x14ac:dyDescent="0.25">
      <c r="A137" s="36">
        <f t="shared" si="4"/>
        <v>11</v>
      </c>
      <c r="G137" s="36"/>
      <c r="J137" s="36">
        <f t="shared" si="5"/>
        <v>11</v>
      </c>
    </row>
    <row r="138" spans="1:10" x14ac:dyDescent="0.25">
      <c r="A138" s="36">
        <f t="shared" si="4"/>
        <v>12</v>
      </c>
      <c r="B138" s="37" t="s">
        <v>497</v>
      </c>
      <c r="G138" s="134">
        <f>IFERROR((((G132)+(G134/G135))*G136-(G133/G135))/(1-G136),0)</f>
        <v>0</v>
      </c>
      <c r="I138" s="48" t="s">
        <v>498</v>
      </c>
      <c r="J138" s="36">
        <f t="shared" si="5"/>
        <v>12</v>
      </c>
    </row>
    <row r="139" spans="1:10" x14ac:dyDescent="0.25">
      <c r="A139" s="36">
        <f t="shared" si="4"/>
        <v>13</v>
      </c>
      <c r="B139" s="136" t="s">
        <v>480</v>
      </c>
      <c r="G139" s="121"/>
      <c r="J139" s="36">
        <f t="shared" si="5"/>
        <v>13</v>
      </c>
    </row>
    <row r="140" spans="1:10" x14ac:dyDescent="0.25">
      <c r="A140" s="36">
        <f t="shared" si="4"/>
        <v>14</v>
      </c>
      <c r="G140" s="36"/>
      <c r="J140" s="36">
        <f t="shared" si="5"/>
        <v>14</v>
      </c>
    </row>
    <row r="141" spans="1:10" x14ac:dyDescent="0.25">
      <c r="A141" s="36">
        <f t="shared" si="4"/>
        <v>15</v>
      </c>
      <c r="B141" s="41" t="s">
        <v>481</v>
      </c>
      <c r="G141" s="137"/>
      <c r="I141" s="138"/>
      <c r="J141" s="36">
        <f t="shared" si="5"/>
        <v>15</v>
      </c>
    </row>
    <row r="142" spans="1:10" x14ac:dyDescent="0.25">
      <c r="A142" s="36">
        <f t="shared" si="4"/>
        <v>16</v>
      </c>
      <c r="B142" s="53"/>
      <c r="G142" s="137"/>
      <c r="I142" s="126"/>
      <c r="J142" s="36">
        <f t="shared" si="5"/>
        <v>16</v>
      </c>
    </row>
    <row r="143" spans="1:10" x14ac:dyDescent="0.25">
      <c r="A143" s="36">
        <f t="shared" si="4"/>
        <v>17</v>
      </c>
      <c r="B143" s="43" t="s">
        <v>467</v>
      </c>
      <c r="G143" s="137"/>
      <c r="I143" s="126"/>
      <c r="J143" s="36">
        <f t="shared" si="5"/>
        <v>17</v>
      </c>
    </row>
    <row r="144" spans="1:10" x14ac:dyDescent="0.25">
      <c r="A144" s="36">
        <f t="shared" si="4"/>
        <v>18</v>
      </c>
      <c r="B144" s="37" t="str">
        <f>B97</f>
        <v xml:space="preserve">     A = Sum of Preferred Stock and Return on Equity Component</v>
      </c>
      <c r="G144" s="113">
        <f>G132</f>
        <v>0</v>
      </c>
      <c r="I144" s="48" t="str">
        <f>"Line "&amp;A132&amp;" Above"</f>
        <v>Line 6 Above</v>
      </c>
      <c r="J144" s="36">
        <f t="shared" si="5"/>
        <v>18</v>
      </c>
    </row>
    <row r="145" spans="1:10" x14ac:dyDescent="0.25">
      <c r="A145" s="36">
        <f t="shared" si="4"/>
        <v>19</v>
      </c>
      <c r="B145" s="37" t="str">
        <f>B98</f>
        <v xml:space="preserve">     B = Equity AFUDC Component of Transmission Depreciation Expense</v>
      </c>
      <c r="G145" s="141">
        <f>G134</f>
        <v>0</v>
      </c>
      <c r="I145" s="48" t="str">
        <f>"Line "&amp;A134&amp;" Above"</f>
        <v>Line 8 Above</v>
      </c>
      <c r="J145" s="36">
        <f t="shared" si="5"/>
        <v>19</v>
      </c>
    </row>
    <row r="146" spans="1:10" x14ac:dyDescent="0.25">
      <c r="A146" s="36">
        <f t="shared" si="4"/>
        <v>20</v>
      </c>
      <c r="B146" s="37" t="s">
        <v>499</v>
      </c>
      <c r="G146" s="141">
        <f>G135</f>
        <v>0</v>
      </c>
      <c r="I146" s="48" t="str">
        <f>"Line "&amp;A135&amp;" Above"</f>
        <v>Line 9 Above</v>
      </c>
      <c r="J146" s="36">
        <f t="shared" si="5"/>
        <v>20</v>
      </c>
    </row>
    <row r="147" spans="1:10" x14ac:dyDescent="0.25">
      <c r="A147" s="36">
        <f t="shared" si="4"/>
        <v>21</v>
      </c>
      <c r="B147" s="37" t="str">
        <f>B100</f>
        <v xml:space="preserve">     FT = Federal Income Tax Expense</v>
      </c>
      <c r="G147" s="143">
        <f>G138</f>
        <v>0</v>
      </c>
      <c r="I147" s="48" t="str">
        <f>"Line "&amp;A138&amp;" Above"</f>
        <v>Line 12 Above</v>
      </c>
      <c r="J147" s="36">
        <f t="shared" si="5"/>
        <v>21</v>
      </c>
    </row>
    <row r="148" spans="1:10" x14ac:dyDescent="0.25">
      <c r="A148" s="36">
        <f t="shared" si="4"/>
        <v>22</v>
      </c>
      <c r="B148" s="37" t="str">
        <f>B101</f>
        <v xml:space="preserve">     ST = State Income Tax Rate for Rate Effective Period</v>
      </c>
      <c r="G148" s="366">
        <f>G101</f>
        <v>8.8400000000000006E-2</v>
      </c>
      <c r="I148" s="48" t="str">
        <f>"AV2; Line "&amp;A101</f>
        <v>AV2; Line 22</v>
      </c>
      <c r="J148" s="36">
        <f t="shared" si="5"/>
        <v>22</v>
      </c>
    </row>
    <row r="149" spans="1:10" x14ac:dyDescent="0.25">
      <c r="A149" s="36">
        <f t="shared" si="4"/>
        <v>23</v>
      </c>
      <c r="B149" s="607"/>
      <c r="G149" s="144"/>
      <c r="I149" s="140"/>
      <c r="J149" s="36">
        <f t="shared" si="5"/>
        <v>23</v>
      </c>
    </row>
    <row r="150" spans="1:10" x14ac:dyDescent="0.25">
      <c r="A150" s="36">
        <f t="shared" si="4"/>
        <v>24</v>
      </c>
      <c r="B150" s="37" t="s">
        <v>487</v>
      </c>
      <c r="G150" s="360">
        <f>IFERROR(((G144)+(G145/G146)+G138)*G148/(1-G148),0)</f>
        <v>0</v>
      </c>
      <c r="I150" s="48" t="s">
        <v>488</v>
      </c>
      <c r="J150" s="36">
        <f t="shared" si="5"/>
        <v>24</v>
      </c>
    </row>
    <row r="151" spans="1:10" x14ac:dyDescent="0.25">
      <c r="A151" s="36">
        <f t="shared" si="4"/>
        <v>25</v>
      </c>
      <c r="B151" s="136" t="s">
        <v>489</v>
      </c>
      <c r="G151" s="36"/>
      <c r="I151" s="48"/>
      <c r="J151" s="36">
        <f t="shared" si="5"/>
        <v>25</v>
      </c>
    </row>
    <row r="152" spans="1:10" x14ac:dyDescent="0.25">
      <c r="A152" s="36">
        <f t="shared" si="4"/>
        <v>26</v>
      </c>
      <c r="G152" s="36"/>
      <c r="I152" s="48"/>
      <c r="J152" s="36">
        <f t="shared" si="5"/>
        <v>26</v>
      </c>
    </row>
    <row r="153" spans="1:10" x14ac:dyDescent="0.25">
      <c r="A153" s="36">
        <f t="shared" si="4"/>
        <v>27</v>
      </c>
      <c r="B153" s="41" t="s">
        <v>490</v>
      </c>
      <c r="G153" s="134">
        <f>G150+G138</f>
        <v>0</v>
      </c>
      <c r="I153" s="48" t="str">
        <f>"Line "&amp;A138&amp;" + Line "&amp;A150</f>
        <v>Line 12 + Line 24</v>
      </c>
      <c r="J153" s="36">
        <f t="shared" si="5"/>
        <v>27</v>
      </c>
    </row>
    <row r="154" spans="1:10" x14ac:dyDescent="0.25">
      <c r="A154" s="36">
        <f t="shared" si="4"/>
        <v>28</v>
      </c>
      <c r="G154" s="36"/>
      <c r="I154" s="48"/>
      <c r="J154" s="36">
        <f t="shared" si="5"/>
        <v>28</v>
      </c>
    </row>
    <row r="155" spans="1:10" x14ac:dyDescent="0.25">
      <c r="A155" s="36">
        <f t="shared" si="4"/>
        <v>29</v>
      </c>
      <c r="B155" s="41" t="s">
        <v>500</v>
      </c>
      <c r="G155" s="367">
        <f>G63</f>
        <v>0</v>
      </c>
      <c r="I155" s="48" t="str">
        <f>"AV1; Line "&amp;A63</f>
        <v>AV1; Line 53</v>
      </c>
      <c r="J155" s="36">
        <f t="shared" si="5"/>
        <v>29</v>
      </c>
    </row>
    <row r="156" spans="1:10" x14ac:dyDescent="0.25">
      <c r="A156" s="36">
        <f t="shared" si="4"/>
        <v>30</v>
      </c>
      <c r="G156" s="36"/>
      <c r="I156" s="48"/>
      <c r="J156" s="36">
        <f t="shared" si="5"/>
        <v>30</v>
      </c>
    </row>
    <row r="157" spans="1:10" ht="19.5" thickBot="1" x14ac:dyDescent="0.3">
      <c r="A157" s="36">
        <f t="shared" si="4"/>
        <v>31</v>
      </c>
      <c r="B157" s="41" t="s">
        <v>501</v>
      </c>
      <c r="G157" s="152">
        <f>G153+G155</f>
        <v>0</v>
      </c>
      <c r="I157" s="48" t="str">
        <f>"Line "&amp;A153&amp;" + Line "&amp;A155</f>
        <v>Line 27 + Line 29</v>
      </c>
      <c r="J157" s="36">
        <f t="shared" si="5"/>
        <v>31</v>
      </c>
    </row>
    <row r="158" spans="1:10" ht="16.5" thickTop="1" x14ac:dyDescent="0.25"/>
    <row r="160" spans="1:10" ht="18.75" x14ac:dyDescent="0.25">
      <c r="A160" s="67"/>
      <c r="B160" s="18"/>
    </row>
  </sheetData>
  <mergeCells count="15">
    <mergeCell ref="B122:I122"/>
    <mergeCell ref="B74:I74"/>
    <mergeCell ref="B121:I121"/>
    <mergeCell ref="B2:I2"/>
    <mergeCell ref="B3:I3"/>
    <mergeCell ref="B4:I4"/>
    <mergeCell ref="B5:I5"/>
    <mergeCell ref="B6:I6"/>
    <mergeCell ref="B118:I118"/>
    <mergeCell ref="B119:I119"/>
    <mergeCell ref="B120:I120"/>
    <mergeCell ref="B71:I71"/>
    <mergeCell ref="B72:I72"/>
    <mergeCell ref="B73:I73"/>
    <mergeCell ref="B75:I75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Roman,Bold"&amp;7REVISED</oddHeader>
    <oddFooter>&amp;L&amp;F&amp;CPage 10.&amp;P&amp;R&amp;A</oddFooter>
  </headerFooter>
  <rowBreaks count="2" manualBreakCount="2">
    <brk id="69" max="16383" man="1"/>
    <brk id="11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1A44-F0F2-4286-A8FD-31C5C49142C5}">
  <dimension ref="A1:M161"/>
  <sheetViews>
    <sheetView zoomScale="80" zoomScaleNormal="80" workbookViewId="0"/>
  </sheetViews>
  <sheetFormatPr defaultColWidth="8.85546875" defaultRowHeight="15.75" x14ac:dyDescent="0.25"/>
  <cols>
    <col min="1" max="1" width="5.140625" style="36" customWidth="1"/>
    <col min="2" max="2" width="55.42578125" style="37" customWidth="1"/>
    <col min="3" max="5" width="15.5703125" style="37" customWidth="1"/>
    <col min="6" max="6" width="1.5703125" style="37" customWidth="1"/>
    <col min="7" max="7" width="16.85546875" style="37" customWidth="1"/>
    <col min="8" max="8" width="1.5703125" style="37" customWidth="1"/>
    <col min="9" max="9" width="38.85546875" style="98" customWidth="1"/>
    <col min="10" max="10" width="5.140625" style="37" customWidth="1"/>
    <col min="11" max="11" width="27" style="37" bestFit="1" customWidth="1"/>
    <col min="12" max="12" width="15" style="37" bestFit="1" customWidth="1"/>
    <col min="13" max="13" width="10.42578125" style="37" bestFit="1" customWidth="1"/>
    <col min="14" max="16384" width="8.85546875" style="37"/>
  </cols>
  <sheetData>
    <row r="1" spans="1:10" x14ac:dyDescent="0.25">
      <c r="A1" s="691" t="s">
        <v>639</v>
      </c>
    </row>
    <row r="2" spans="1:10" x14ac:dyDescent="0.25">
      <c r="A2" s="346"/>
      <c r="G2" s="63"/>
      <c r="H2" s="63"/>
      <c r="I2" s="122"/>
      <c r="J2" s="36"/>
    </row>
    <row r="3" spans="1:10" x14ac:dyDescent="0.25">
      <c r="B3" s="808" t="s">
        <v>401</v>
      </c>
      <c r="C3" s="808"/>
      <c r="D3" s="808"/>
      <c r="E3" s="808"/>
      <c r="F3" s="808"/>
      <c r="G3" s="808"/>
      <c r="H3" s="808"/>
      <c r="I3" s="808"/>
      <c r="J3" s="36"/>
    </row>
    <row r="4" spans="1:10" x14ac:dyDescent="0.25">
      <c r="B4" s="808" t="s">
        <v>402</v>
      </c>
      <c r="C4" s="808"/>
      <c r="D4" s="808"/>
      <c r="E4" s="808"/>
      <c r="F4" s="808"/>
      <c r="G4" s="808"/>
      <c r="H4" s="808"/>
      <c r="I4" s="808"/>
      <c r="J4" s="36"/>
    </row>
    <row r="5" spans="1:10" x14ac:dyDescent="0.25">
      <c r="B5" s="808" t="s">
        <v>403</v>
      </c>
      <c r="C5" s="808"/>
      <c r="D5" s="808"/>
      <c r="E5" s="808"/>
      <c r="F5" s="808"/>
      <c r="G5" s="808"/>
      <c r="H5" s="808"/>
      <c r="I5" s="808"/>
      <c r="J5" s="36"/>
    </row>
    <row r="6" spans="1:10" x14ac:dyDescent="0.25">
      <c r="B6" s="811" t="s">
        <v>71</v>
      </c>
      <c r="C6" s="811"/>
      <c r="D6" s="811"/>
      <c r="E6" s="811"/>
      <c r="F6" s="811"/>
      <c r="G6" s="811"/>
      <c r="H6" s="811"/>
      <c r="I6" s="811"/>
      <c r="J6" s="36"/>
    </row>
    <row r="7" spans="1:10" x14ac:dyDescent="0.25">
      <c r="B7" s="810" t="s">
        <v>3</v>
      </c>
      <c r="C7" s="812"/>
      <c r="D7" s="812"/>
      <c r="E7" s="812"/>
      <c r="F7" s="812"/>
      <c r="G7" s="812"/>
      <c r="H7" s="812"/>
      <c r="I7" s="812"/>
      <c r="J7" s="36"/>
    </row>
    <row r="8" spans="1:10" x14ac:dyDescent="0.25">
      <c r="B8" s="36"/>
      <c r="C8" s="36"/>
      <c r="D8" s="36"/>
      <c r="E8" s="36"/>
      <c r="F8" s="36"/>
      <c r="G8" s="36"/>
      <c r="H8" s="36"/>
      <c r="I8" s="48"/>
      <c r="J8" s="36"/>
    </row>
    <row r="9" spans="1:10" x14ac:dyDescent="0.25">
      <c r="A9" s="36" t="s">
        <v>4</v>
      </c>
      <c r="B9" s="369"/>
      <c r="C9" s="369"/>
      <c r="D9" s="369"/>
      <c r="E9" s="36" t="s">
        <v>194</v>
      </c>
      <c r="F9" s="369"/>
      <c r="G9" s="369"/>
      <c r="H9" s="369"/>
      <c r="I9" s="48"/>
      <c r="J9" s="36" t="s">
        <v>4</v>
      </c>
    </row>
    <row r="10" spans="1:10" x14ac:dyDescent="0.25">
      <c r="A10" s="36" t="s">
        <v>5</v>
      </c>
      <c r="B10" s="36"/>
      <c r="C10" s="36"/>
      <c r="D10" s="36"/>
      <c r="E10" s="692" t="s">
        <v>195</v>
      </c>
      <c r="F10" s="36"/>
      <c r="G10" s="693" t="s">
        <v>7</v>
      </c>
      <c r="H10" s="369"/>
      <c r="I10" s="715" t="s">
        <v>8</v>
      </c>
      <c r="J10" s="36" t="s">
        <v>5</v>
      </c>
    </row>
    <row r="11" spans="1:10" x14ac:dyDescent="0.25">
      <c r="B11" s="36"/>
      <c r="C11" s="36"/>
      <c r="D11" s="36"/>
      <c r="E11" s="36"/>
      <c r="F11" s="36"/>
      <c r="G11" s="36"/>
      <c r="H11" s="36"/>
      <c r="I11" s="48"/>
      <c r="J11" s="36"/>
    </row>
    <row r="12" spans="1:10" x14ac:dyDescent="0.25">
      <c r="A12" s="36">
        <v>1</v>
      </c>
      <c r="B12" s="41" t="s">
        <v>404</v>
      </c>
      <c r="I12" s="48"/>
      <c r="J12" s="36">
        <f>A12</f>
        <v>1</v>
      </c>
    </row>
    <row r="13" spans="1:10" x14ac:dyDescent="0.25">
      <c r="A13" s="36">
        <f>A12+1</f>
        <v>2</v>
      </c>
      <c r="B13" s="37" t="s">
        <v>405</v>
      </c>
      <c r="E13" s="36" t="s">
        <v>406</v>
      </c>
      <c r="G13" s="99">
        <v>6053573</v>
      </c>
      <c r="H13" s="369"/>
      <c r="I13" s="102"/>
      <c r="J13" s="36">
        <f>J12+1</f>
        <v>2</v>
      </c>
    </row>
    <row r="14" spans="1:10" x14ac:dyDescent="0.25">
      <c r="A14" s="36">
        <f t="shared" ref="A14:A66" si="0">A13+1</f>
        <v>3</v>
      </c>
      <c r="B14" s="37" t="s">
        <v>407</v>
      </c>
      <c r="E14" s="36" t="s">
        <v>408</v>
      </c>
      <c r="G14" s="100">
        <v>0</v>
      </c>
      <c r="H14" s="369"/>
      <c r="I14" s="102"/>
      <c r="J14" s="36">
        <f t="shared" ref="J14:J66" si="1">J13+1</f>
        <v>3</v>
      </c>
    </row>
    <row r="15" spans="1:10" x14ac:dyDescent="0.25">
      <c r="A15" s="36">
        <f t="shared" si="0"/>
        <v>4</v>
      </c>
      <c r="B15" s="37" t="s">
        <v>409</v>
      </c>
      <c r="E15" s="36" t="s">
        <v>410</v>
      </c>
      <c r="G15" s="100">
        <v>0</v>
      </c>
      <c r="H15" s="369"/>
      <c r="I15" s="102"/>
      <c r="J15" s="36">
        <f t="shared" si="1"/>
        <v>4</v>
      </c>
    </row>
    <row r="16" spans="1:10" x14ac:dyDescent="0.25">
      <c r="A16" s="36">
        <f t="shared" si="0"/>
        <v>5</v>
      </c>
      <c r="B16" s="37" t="s">
        <v>411</v>
      </c>
      <c r="E16" s="36" t="s">
        <v>412</v>
      </c>
      <c r="G16" s="100">
        <v>0</v>
      </c>
      <c r="H16" s="369"/>
      <c r="I16" s="102"/>
      <c r="J16" s="36">
        <f t="shared" si="1"/>
        <v>5</v>
      </c>
    </row>
    <row r="17" spans="1:10" x14ac:dyDescent="0.25">
      <c r="A17" s="36">
        <f t="shared" si="0"/>
        <v>6</v>
      </c>
      <c r="B17" s="37" t="s">
        <v>413</v>
      </c>
      <c r="E17" s="36" t="s">
        <v>414</v>
      </c>
      <c r="G17" s="100">
        <v>-13172.642</v>
      </c>
      <c r="H17" s="369"/>
      <c r="I17" s="102"/>
      <c r="J17" s="36">
        <f t="shared" si="1"/>
        <v>6</v>
      </c>
    </row>
    <row r="18" spans="1:10" x14ac:dyDescent="0.25">
      <c r="A18" s="36">
        <f t="shared" si="0"/>
        <v>7</v>
      </c>
      <c r="B18" s="37" t="s">
        <v>415</v>
      </c>
      <c r="G18" s="101">
        <f>SUM(G13:G17)</f>
        <v>6040400.358</v>
      </c>
      <c r="H18" s="95"/>
      <c r="I18" s="48" t="str">
        <f>"Sum Lines "&amp;A13&amp;" thru "&amp;A17</f>
        <v>Sum Lines 2 thru 6</v>
      </c>
      <c r="J18" s="36">
        <f t="shared" si="1"/>
        <v>7</v>
      </c>
    </row>
    <row r="19" spans="1:10" x14ac:dyDescent="0.25">
      <c r="A19" s="36">
        <f t="shared" si="0"/>
        <v>8</v>
      </c>
      <c r="I19" s="48"/>
      <c r="J19" s="36">
        <f t="shared" si="1"/>
        <v>8</v>
      </c>
    </row>
    <row r="20" spans="1:10" x14ac:dyDescent="0.25">
      <c r="A20" s="36">
        <f t="shared" si="0"/>
        <v>9</v>
      </c>
      <c r="B20" s="41" t="s">
        <v>416</v>
      </c>
      <c r="G20" s="35"/>
      <c r="H20" s="35"/>
      <c r="I20" s="48"/>
      <c r="J20" s="36">
        <f t="shared" si="1"/>
        <v>9</v>
      </c>
    </row>
    <row r="21" spans="1:10" x14ac:dyDescent="0.25">
      <c r="A21" s="36">
        <f t="shared" si="0"/>
        <v>10</v>
      </c>
      <c r="B21" s="37" t="s">
        <v>417</v>
      </c>
      <c r="E21" s="36" t="s">
        <v>418</v>
      </c>
      <c r="G21" s="99">
        <v>233778.584</v>
      </c>
      <c r="H21" s="369"/>
      <c r="I21" s="102"/>
      <c r="J21" s="36">
        <f t="shared" si="1"/>
        <v>10</v>
      </c>
    </row>
    <row r="22" spans="1:10" x14ac:dyDescent="0.25">
      <c r="A22" s="36">
        <f t="shared" si="0"/>
        <v>11</v>
      </c>
      <c r="B22" s="37" t="s">
        <v>419</v>
      </c>
      <c r="E22" s="36" t="s">
        <v>420</v>
      </c>
      <c r="G22" s="100">
        <v>4107.085</v>
      </c>
      <c r="H22" s="369"/>
      <c r="I22" s="102"/>
      <c r="J22" s="36">
        <f t="shared" si="1"/>
        <v>11</v>
      </c>
    </row>
    <row r="23" spans="1:10" x14ac:dyDescent="0.25">
      <c r="A23" s="36">
        <f t="shared" si="0"/>
        <v>12</v>
      </c>
      <c r="B23" s="37" t="s">
        <v>421</v>
      </c>
      <c r="E23" s="36" t="s">
        <v>422</v>
      </c>
      <c r="G23" s="100">
        <v>1449.7840000000001</v>
      </c>
      <c r="H23" s="369"/>
      <c r="I23" s="102"/>
      <c r="J23" s="36">
        <f t="shared" si="1"/>
        <v>12</v>
      </c>
    </row>
    <row r="24" spans="1:10" x14ac:dyDescent="0.25">
      <c r="A24" s="36">
        <f t="shared" si="0"/>
        <v>13</v>
      </c>
      <c r="B24" s="37" t="s">
        <v>423</v>
      </c>
      <c r="E24" s="36" t="s">
        <v>424</v>
      </c>
      <c r="G24" s="100">
        <v>0</v>
      </c>
      <c r="H24" s="369"/>
      <c r="I24" s="102"/>
      <c r="J24" s="36">
        <f t="shared" si="1"/>
        <v>13</v>
      </c>
    </row>
    <row r="25" spans="1:10" x14ac:dyDescent="0.25">
      <c r="A25" s="36">
        <f t="shared" si="0"/>
        <v>14</v>
      </c>
      <c r="B25" s="37" t="s">
        <v>425</v>
      </c>
      <c r="E25" s="36" t="s">
        <v>426</v>
      </c>
      <c r="G25" s="100">
        <v>0</v>
      </c>
      <c r="H25" s="369"/>
      <c r="I25" s="102"/>
      <c r="J25" s="36">
        <f t="shared" si="1"/>
        <v>14</v>
      </c>
    </row>
    <row r="26" spans="1:10" x14ac:dyDescent="0.25">
      <c r="A26" s="36">
        <f t="shared" si="0"/>
        <v>15</v>
      </c>
      <c r="B26" s="37" t="s">
        <v>427</v>
      </c>
      <c r="G26" s="103">
        <f>SUM(G21:G25)</f>
        <v>239335.45300000001</v>
      </c>
      <c r="H26" s="104"/>
      <c r="I26" s="48" t="str">
        <f>"Sum Lines "&amp;A21&amp;" thru "&amp;A25</f>
        <v>Sum Lines 10 thru 14</v>
      </c>
      <c r="J26" s="36">
        <f t="shared" si="1"/>
        <v>15</v>
      </c>
    </row>
    <row r="27" spans="1:10" x14ac:dyDescent="0.25">
      <c r="A27" s="36">
        <f t="shared" si="0"/>
        <v>16</v>
      </c>
      <c r="I27" s="48"/>
      <c r="J27" s="36">
        <f t="shared" si="1"/>
        <v>16</v>
      </c>
    </row>
    <row r="28" spans="1:10" ht="16.5" thickBot="1" x14ac:dyDescent="0.3">
      <c r="A28" s="36">
        <f t="shared" si="0"/>
        <v>17</v>
      </c>
      <c r="B28" s="41" t="s">
        <v>428</v>
      </c>
      <c r="G28" s="105">
        <f>G26/G18</f>
        <v>3.9622448648295373E-2</v>
      </c>
      <c r="H28" s="106"/>
      <c r="I28" s="48" t="str">
        <f>"Line "&amp;A26&amp;" / Line "&amp;A18</f>
        <v>Line 15 / Line 7</v>
      </c>
      <c r="J28" s="36">
        <f t="shared" si="1"/>
        <v>17</v>
      </c>
    </row>
    <row r="29" spans="1:10" ht="16.5" thickTop="1" x14ac:dyDescent="0.25">
      <c r="A29" s="36">
        <f t="shared" si="0"/>
        <v>18</v>
      </c>
      <c r="I29" s="48"/>
      <c r="J29" s="36">
        <f t="shared" si="1"/>
        <v>18</v>
      </c>
    </row>
    <row r="30" spans="1:10" x14ac:dyDescent="0.25">
      <c r="A30" s="36">
        <f t="shared" si="0"/>
        <v>19</v>
      </c>
      <c r="B30" s="41" t="s">
        <v>429</v>
      </c>
      <c r="I30" s="48"/>
      <c r="J30" s="36">
        <f t="shared" si="1"/>
        <v>19</v>
      </c>
    </row>
    <row r="31" spans="1:10" x14ac:dyDescent="0.25">
      <c r="A31" s="36">
        <f t="shared" si="0"/>
        <v>20</v>
      </c>
      <c r="B31" s="37" t="s">
        <v>430</v>
      </c>
      <c r="E31" s="36" t="s">
        <v>431</v>
      </c>
      <c r="G31" s="99">
        <v>0</v>
      </c>
      <c r="H31" s="369"/>
      <c r="I31" s="102"/>
      <c r="J31" s="36">
        <f t="shared" si="1"/>
        <v>20</v>
      </c>
    </row>
    <row r="32" spans="1:10" x14ac:dyDescent="0.25">
      <c r="A32" s="36">
        <f t="shared" si="0"/>
        <v>21</v>
      </c>
      <c r="B32" s="37" t="s">
        <v>432</v>
      </c>
      <c r="E32" s="36" t="s">
        <v>433</v>
      </c>
      <c r="G32" s="716">
        <v>0</v>
      </c>
      <c r="H32" s="369"/>
      <c r="I32" s="102"/>
      <c r="J32" s="36">
        <f t="shared" si="1"/>
        <v>21</v>
      </c>
    </row>
    <row r="33" spans="1:12" ht="16.5" thickBot="1" x14ac:dyDescent="0.3">
      <c r="A33" s="36">
        <f t="shared" si="0"/>
        <v>22</v>
      </c>
      <c r="B33" s="37" t="s">
        <v>434</v>
      </c>
      <c r="G33" s="105">
        <f>IFERROR((G32/G31),0)</f>
        <v>0</v>
      </c>
      <c r="H33" s="106"/>
      <c r="I33" s="48" t="str">
        <f>"Line "&amp;A32&amp;" / Line "&amp;A31</f>
        <v>Line 21 / Line 20</v>
      </c>
      <c r="J33" s="36">
        <f t="shared" si="1"/>
        <v>22</v>
      </c>
    </row>
    <row r="34" spans="1:12" ht="16.5" thickTop="1" x14ac:dyDescent="0.25">
      <c r="A34" s="36">
        <f t="shared" si="0"/>
        <v>23</v>
      </c>
      <c r="I34" s="48"/>
      <c r="J34" s="36">
        <f t="shared" si="1"/>
        <v>23</v>
      </c>
    </row>
    <row r="35" spans="1:12" x14ac:dyDescent="0.25">
      <c r="A35" s="36">
        <f t="shared" si="0"/>
        <v>24</v>
      </c>
      <c r="B35" s="41" t="s">
        <v>435</v>
      </c>
      <c r="I35" s="48"/>
      <c r="J35" s="36">
        <f t="shared" si="1"/>
        <v>24</v>
      </c>
    </row>
    <row r="36" spans="1:12" x14ac:dyDescent="0.25">
      <c r="A36" s="36">
        <f t="shared" si="0"/>
        <v>25</v>
      </c>
      <c r="B36" s="37" t="s">
        <v>436</v>
      </c>
      <c r="E36" s="36" t="s">
        <v>437</v>
      </c>
      <c r="G36" s="99">
        <v>7729413.6809999999</v>
      </c>
      <c r="H36" s="369"/>
      <c r="I36" s="102"/>
      <c r="J36" s="36">
        <f t="shared" si="1"/>
        <v>25</v>
      </c>
      <c r="K36" s="44"/>
      <c r="L36" s="349"/>
    </row>
    <row r="37" spans="1:12" x14ac:dyDescent="0.25">
      <c r="A37" s="36">
        <f t="shared" si="0"/>
        <v>26</v>
      </c>
      <c r="B37" s="37" t="s">
        <v>438</v>
      </c>
      <c r="E37" s="36" t="s">
        <v>431</v>
      </c>
      <c r="G37" s="107">
        <v>0</v>
      </c>
      <c r="H37" s="107"/>
      <c r="I37" s="48" t="str">
        <f>"Negative of Line "&amp;A31&amp;" Above"</f>
        <v>Negative of Line 20 Above</v>
      </c>
      <c r="J37" s="36">
        <f t="shared" si="1"/>
        <v>26</v>
      </c>
    </row>
    <row r="38" spans="1:12" x14ac:dyDescent="0.25">
      <c r="A38" s="36">
        <f t="shared" si="0"/>
        <v>27</v>
      </c>
      <c r="B38" s="37" t="s">
        <v>439</v>
      </c>
      <c r="E38" s="36" t="s">
        <v>440</v>
      </c>
      <c r="G38" s="100">
        <v>0</v>
      </c>
      <c r="H38" s="369"/>
      <c r="I38" s="102"/>
      <c r="J38" s="36">
        <f t="shared" si="1"/>
        <v>27</v>
      </c>
    </row>
    <row r="39" spans="1:12" x14ac:dyDescent="0.25">
      <c r="A39" s="36">
        <f t="shared" si="0"/>
        <v>28</v>
      </c>
      <c r="B39" s="37" t="s">
        <v>441</v>
      </c>
      <c r="E39" s="36" t="s">
        <v>442</v>
      </c>
      <c r="G39" s="100">
        <v>10034.102000000001</v>
      </c>
      <c r="H39" s="369"/>
      <c r="I39" s="102"/>
      <c r="J39" s="36">
        <f t="shared" si="1"/>
        <v>28</v>
      </c>
    </row>
    <row r="40" spans="1:12" ht="16.5" thickBot="1" x14ac:dyDescent="0.3">
      <c r="A40" s="36">
        <f t="shared" si="0"/>
        <v>29</v>
      </c>
      <c r="B40" s="37" t="s">
        <v>443</v>
      </c>
      <c r="G40" s="108">
        <f>SUM(G36:G39)</f>
        <v>7739447.7829999998</v>
      </c>
      <c r="H40" s="109"/>
      <c r="I40" s="48" t="str">
        <f>"Sum Lines "&amp;A36&amp;" thru "&amp;A39</f>
        <v>Sum Lines 25 thru 28</v>
      </c>
      <c r="J40" s="36">
        <f t="shared" si="1"/>
        <v>29</v>
      </c>
    </row>
    <row r="41" spans="1:12" ht="17.25" thickTop="1" thickBot="1" x14ac:dyDescent="0.3">
      <c r="A41" s="110">
        <f t="shared" si="0"/>
        <v>30</v>
      </c>
      <c r="B41" s="83"/>
      <c r="C41" s="83"/>
      <c r="D41" s="83"/>
      <c r="E41" s="83"/>
      <c r="F41" s="83"/>
      <c r="G41" s="83"/>
      <c r="H41" s="83"/>
      <c r="I41" s="111"/>
      <c r="J41" s="110">
        <f t="shared" si="1"/>
        <v>30</v>
      </c>
    </row>
    <row r="42" spans="1:12" x14ac:dyDescent="0.25">
      <c r="A42" s="36">
        <f>A41+1</f>
        <v>31</v>
      </c>
      <c r="I42" s="48"/>
      <c r="J42" s="36">
        <f>J41+1</f>
        <v>31</v>
      </c>
    </row>
    <row r="43" spans="1:12" ht="16.5" thickBot="1" x14ac:dyDescent="0.3">
      <c r="A43" s="36">
        <f>A42+1</f>
        <v>32</v>
      </c>
      <c r="B43" s="41" t="s">
        <v>444</v>
      </c>
      <c r="G43" s="112">
        <v>0.106</v>
      </c>
      <c r="H43" s="369"/>
      <c r="I43" s="36" t="s">
        <v>445</v>
      </c>
      <c r="J43" s="36">
        <f>J42+1</f>
        <v>32</v>
      </c>
    </row>
    <row r="44" spans="1:12" ht="16.5" thickTop="1" x14ac:dyDescent="0.25">
      <c r="A44" s="36">
        <f t="shared" si="0"/>
        <v>33</v>
      </c>
      <c r="C44" s="68" t="s">
        <v>288</v>
      </c>
      <c r="D44" s="68" t="s">
        <v>289</v>
      </c>
      <c r="E44" s="68" t="s">
        <v>446</v>
      </c>
      <c r="F44" s="68"/>
      <c r="G44" s="68" t="s">
        <v>447</v>
      </c>
      <c r="H44" s="68"/>
      <c r="I44" s="48"/>
      <c r="J44" s="36">
        <f t="shared" si="1"/>
        <v>33</v>
      </c>
    </row>
    <row r="45" spans="1:12" x14ac:dyDescent="0.25">
      <c r="A45" s="36">
        <f t="shared" si="0"/>
        <v>34</v>
      </c>
      <c r="D45" s="36" t="s">
        <v>448</v>
      </c>
      <c r="E45" s="36" t="s">
        <v>449</v>
      </c>
      <c r="F45" s="36"/>
      <c r="G45" s="36" t="s">
        <v>450</v>
      </c>
      <c r="H45" s="36"/>
      <c r="I45" s="48"/>
      <c r="J45" s="36">
        <f t="shared" si="1"/>
        <v>34</v>
      </c>
    </row>
    <row r="46" spans="1:12" ht="18.75" x14ac:dyDescent="0.25">
      <c r="A46" s="36">
        <f t="shared" si="0"/>
        <v>35</v>
      </c>
      <c r="B46" s="41" t="s">
        <v>451</v>
      </c>
      <c r="C46" s="692" t="s">
        <v>452</v>
      </c>
      <c r="D46" s="692" t="s">
        <v>453</v>
      </c>
      <c r="E46" s="692" t="s">
        <v>454</v>
      </c>
      <c r="F46" s="692"/>
      <c r="G46" s="692" t="s">
        <v>455</v>
      </c>
      <c r="H46" s="36"/>
      <c r="I46" s="48"/>
      <c r="J46" s="36">
        <f t="shared" si="1"/>
        <v>35</v>
      </c>
    </row>
    <row r="47" spans="1:12" x14ac:dyDescent="0.25">
      <c r="A47" s="36">
        <f t="shared" si="0"/>
        <v>36</v>
      </c>
      <c r="I47" s="48"/>
      <c r="J47" s="36">
        <f t="shared" si="1"/>
        <v>36</v>
      </c>
    </row>
    <row r="48" spans="1:12" x14ac:dyDescent="0.25">
      <c r="A48" s="36">
        <f t="shared" si="0"/>
        <v>37</v>
      </c>
      <c r="B48" s="37" t="s">
        <v>456</v>
      </c>
      <c r="C48" s="60">
        <f>G18</f>
        <v>6040400.358</v>
      </c>
      <c r="D48" s="113">
        <f>C48/C$51</f>
        <v>0.43835028486472494</v>
      </c>
      <c r="E48" s="114">
        <f>G28</f>
        <v>3.9622448648295373E-2</v>
      </c>
      <c r="G48" s="115">
        <f>D48*E48</f>
        <v>1.7368511652018213E-2</v>
      </c>
      <c r="H48" s="115"/>
      <c r="I48" s="48" t="str">
        <f>"Col. c = Line "&amp;A28&amp;" Above"</f>
        <v>Col. c = Line 17 Above</v>
      </c>
      <c r="J48" s="36">
        <f t="shared" si="1"/>
        <v>37</v>
      </c>
    </row>
    <row r="49" spans="1:10" x14ac:dyDescent="0.25">
      <c r="A49" s="36">
        <f t="shared" si="0"/>
        <v>38</v>
      </c>
      <c r="B49" s="37" t="s">
        <v>457</v>
      </c>
      <c r="C49" s="116">
        <f>G31</f>
        <v>0</v>
      </c>
      <c r="D49" s="113">
        <f>C49/C$51</f>
        <v>0</v>
      </c>
      <c r="E49" s="114">
        <f>G33</f>
        <v>0</v>
      </c>
      <c r="G49" s="115">
        <f>D49*E49</f>
        <v>0</v>
      </c>
      <c r="H49" s="115"/>
      <c r="I49" s="48" t="str">
        <f>"Col. c = Line "&amp;A33&amp;" Above"</f>
        <v>Col. c = Line 22 Above</v>
      </c>
      <c r="J49" s="36">
        <f t="shared" si="1"/>
        <v>38</v>
      </c>
    </row>
    <row r="50" spans="1:10" x14ac:dyDescent="0.25">
      <c r="A50" s="36">
        <f t="shared" si="0"/>
        <v>39</v>
      </c>
      <c r="B50" s="37" t="s">
        <v>458</v>
      </c>
      <c r="C50" s="116">
        <f>G40</f>
        <v>7739447.7829999998</v>
      </c>
      <c r="D50" s="717">
        <f>C50/C$51</f>
        <v>0.56164971513527517</v>
      </c>
      <c r="E50" s="117">
        <f>G43</f>
        <v>0.106</v>
      </c>
      <c r="G50" s="718">
        <f>D50*E50</f>
        <v>5.9534869804339169E-2</v>
      </c>
      <c r="H50" s="106"/>
      <c r="I50" s="48" t="str">
        <f>"Col. c = Line "&amp;A43&amp;" Above"</f>
        <v>Col. c = Line 32 Above</v>
      </c>
      <c r="J50" s="36">
        <f t="shared" si="1"/>
        <v>39</v>
      </c>
    </row>
    <row r="51" spans="1:10" ht="16.5" thickBot="1" x14ac:dyDescent="0.3">
      <c r="A51" s="36">
        <f t="shared" si="0"/>
        <v>40</v>
      </c>
      <c r="B51" s="37" t="s">
        <v>459</v>
      </c>
      <c r="C51" s="118">
        <f>SUM(C48:C50)</f>
        <v>13779848.140999999</v>
      </c>
      <c r="D51" s="119">
        <f>SUM(D48:D50)</f>
        <v>1</v>
      </c>
      <c r="G51" s="105">
        <f>SUM(G48:G50)</f>
        <v>7.6903381456357389E-2</v>
      </c>
      <c r="H51" s="106"/>
      <c r="I51" s="48" t="str">
        <f>"Sum Lines "&amp;A48&amp;" thru "&amp;A50</f>
        <v>Sum Lines 37 thru 39</v>
      </c>
      <c r="J51" s="36">
        <f t="shared" si="1"/>
        <v>40</v>
      </c>
    </row>
    <row r="52" spans="1:10" ht="16.5" thickTop="1" x14ac:dyDescent="0.25">
      <c r="A52" s="36">
        <f t="shared" si="0"/>
        <v>41</v>
      </c>
      <c r="I52" s="48"/>
      <c r="J52" s="36">
        <f t="shared" si="1"/>
        <v>41</v>
      </c>
    </row>
    <row r="53" spans="1:10" ht="16.5" thickBot="1" x14ac:dyDescent="0.3">
      <c r="A53" s="36">
        <f t="shared" si="0"/>
        <v>42</v>
      </c>
      <c r="B53" s="41" t="s">
        <v>460</v>
      </c>
      <c r="G53" s="105">
        <f>G49+G50</f>
        <v>5.9534869804339169E-2</v>
      </c>
      <c r="H53" s="106"/>
      <c r="I53" s="48" t="str">
        <f>"Line "&amp;A49&amp;" + Line "&amp;A50&amp;"; Col. d"</f>
        <v>Line 38 + Line 39; Col. d</v>
      </c>
      <c r="J53" s="36">
        <f t="shared" si="1"/>
        <v>42</v>
      </c>
    </row>
    <row r="54" spans="1:10" ht="17.25" thickTop="1" thickBot="1" x14ac:dyDescent="0.3">
      <c r="A54" s="110">
        <f t="shared" si="0"/>
        <v>43</v>
      </c>
      <c r="B54" s="123"/>
      <c r="C54" s="83"/>
      <c r="D54" s="83"/>
      <c r="E54" s="83"/>
      <c r="F54" s="83"/>
      <c r="G54" s="352"/>
      <c r="H54" s="352"/>
      <c r="I54" s="111"/>
      <c r="J54" s="110">
        <f t="shared" si="1"/>
        <v>43</v>
      </c>
    </row>
    <row r="55" spans="1:10" x14ac:dyDescent="0.25">
      <c r="A55" s="36">
        <f t="shared" si="0"/>
        <v>44</v>
      </c>
      <c r="B55" s="41"/>
      <c r="G55" s="117"/>
      <c r="H55" s="117"/>
      <c r="I55" s="48"/>
      <c r="J55" s="36">
        <f t="shared" si="1"/>
        <v>44</v>
      </c>
    </row>
    <row r="56" spans="1:10" ht="16.5" thickBot="1" x14ac:dyDescent="0.3">
      <c r="A56" s="36">
        <f t="shared" si="0"/>
        <v>45</v>
      </c>
      <c r="B56" s="41" t="s">
        <v>461</v>
      </c>
      <c r="G56" s="353">
        <v>0</v>
      </c>
      <c r="H56" s="117"/>
      <c r="I56" s="48" t="s">
        <v>265</v>
      </c>
      <c r="J56" s="36">
        <f t="shared" si="1"/>
        <v>45</v>
      </c>
    </row>
    <row r="57" spans="1:10" ht="16.5" thickTop="1" x14ac:dyDescent="0.25">
      <c r="A57" s="36">
        <f t="shared" si="0"/>
        <v>46</v>
      </c>
      <c r="C57" s="68" t="s">
        <v>288</v>
      </c>
      <c r="D57" s="68" t="s">
        <v>289</v>
      </c>
      <c r="E57" s="68" t="s">
        <v>446</v>
      </c>
      <c r="F57" s="68"/>
      <c r="G57" s="68" t="s">
        <v>447</v>
      </c>
      <c r="H57" s="117"/>
      <c r="I57" s="48"/>
      <c r="J57" s="36">
        <f t="shared" si="1"/>
        <v>46</v>
      </c>
    </row>
    <row r="58" spans="1:10" x14ac:dyDescent="0.25">
      <c r="A58" s="36">
        <f t="shared" si="0"/>
        <v>47</v>
      </c>
      <c r="D58" s="36" t="s">
        <v>448</v>
      </c>
      <c r="E58" s="36" t="s">
        <v>449</v>
      </c>
      <c r="F58" s="36"/>
      <c r="G58" s="36" t="s">
        <v>450</v>
      </c>
      <c r="H58" s="117"/>
      <c r="I58" s="48"/>
      <c r="J58" s="36">
        <f t="shared" si="1"/>
        <v>47</v>
      </c>
    </row>
    <row r="59" spans="1:10" ht="18.75" x14ac:dyDescent="0.25">
      <c r="A59" s="36">
        <f t="shared" si="0"/>
        <v>48</v>
      </c>
      <c r="B59" s="41" t="s">
        <v>462</v>
      </c>
      <c r="C59" s="692" t="s">
        <v>452</v>
      </c>
      <c r="D59" s="692" t="s">
        <v>453</v>
      </c>
      <c r="E59" s="692" t="s">
        <v>454</v>
      </c>
      <c r="F59" s="692"/>
      <c r="G59" s="692" t="s">
        <v>455</v>
      </c>
      <c r="H59" s="117"/>
      <c r="I59" s="48"/>
      <c r="J59" s="36">
        <f t="shared" si="1"/>
        <v>48</v>
      </c>
    </row>
    <row r="60" spans="1:10" x14ac:dyDescent="0.25">
      <c r="A60" s="36">
        <f t="shared" si="0"/>
        <v>49</v>
      </c>
      <c r="G60" s="117"/>
      <c r="H60" s="117"/>
      <c r="I60" s="48"/>
      <c r="J60" s="36">
        <f t="shared" si="1"/>
        <v>49</v>
      </c>
    </row>
    <row r="61" spans="1:10" x14ac:dyDescent="0.25">
      <c r="A61" s="36">
        <f t="shared" si="0"/>
        <v>50</v>
      </c>
      <c r="B61" s="37" t="s">
        <v>456</v>
      </c>
      <c r="C61" s="354">
        <v>0</v>
      </c>
      <c r="D61" s="355">
        <v>0</v>
      </c>
      <c r="E61" s="120">
        <v>0</v>
      </c>
      <c r="G61" s="115">
        <f>D61*E61</f>
        <v>0</v>
      </c>
      <c r="H61" s="117"/>
      <c r="I61" s="48" t="s">
        <v>265</v>
      </c>
      <c r="J61" s="36">
        <f t="shared" si="1"/>
        <v>50</v>
      </c>
    </row>
    <row r="62" spans="1:10" x14ac:dyDescent="0.25">
      <c r="A62" s="36">
        <f t="shared" si="0"/>
        <v>51</v>
      </c>
      <c r="B62" s="37" t="s">
        <v>457</v>
      </c>
      <c r="C62" s="356">
        <v>0</v>
      </c>
      <c r="D62" s="355">
        <v>0</v>
      </c>
      <c r="E62" s="120">
        <v>0</v>
      </c>
      <c r="G62" s="115">
        <f>D62*E62</f>
        <v>0</v>
      </c>
      <c r="H62" s="117"/>
      <c r="I62" s="48" t="s">
        <v>265</v>
      </c>
      <c r="J62" s="36">
        <f t="shared" si="1"/>
        <v>51</v>
      </c>
    </row>
    <row r="63" spans="1:10" x14ac:dyDescent="0.25">
      <c r="A63" s="36">
        <f t="shared" si="0"/>
        <v>52</v>
      </c>
      <c r="B63" s="37" t="s">
        <v>458</v>
      </c>
      <c r="C63" s="356">
        <v>0</v>
      </c>
      <c r="D63" s="719">
        <v>0</v>
      </c>
      <c r="E63" s="358">
        <v>0</v>
      </c>
      <c r="G63" s="718">
        <f>D63*E63</f>
        <v>0</v>
      </c>
      <c r="H63" s="117"/>
      <c r="I63" s="48" t="s">
        <v>265</v>
      </c>
      <c r="J63" s="36">
        <f t="shared" si="1"/>
        <v>52</v>
      </c>
    </row>
    <row r="64" spans="1:10" ht="16.5" thickBot="1" x14ac:dyDescent="0.3">
      <c r="A64" s="36">
        <f t="shared" si="0"/>
        <v>53</v>
      </c>
      <c r="B64" s="37" t="s">
        <v>459</v>
      </c>
      <c r="C64" s="118">
        <f>SUM(C61:C63)</f>
        <v>0</v>
      </c>
      <c r="D64" s="105">
        <f>SUM(D61:D63)</f>
        <v>0</v>
      </c>
      <c r="G64" s="105">
        <f>SUM(G61:G63)</f>
        <v>0</v>
      </c>
      <c r="H64" s="117"/>
      <c r="I64" s="48" t="str">
        <f>"Sum Lines "&amp;A61&amp;" thru "&amp;A63</f>
        <v>Sum Lines 50 thru 52</v>
      </c>
      <c r="J64" s="36">
        <f t="shared" si="1"/>
        <v>53</v>
      </c>
    </row>
    <row r="65" spans="1:10" ht="16.5" thickTop="1" x14ac:dyDescent="0.25">
      <c r="A65" s="36">
        <f t="shared" si="0"/>
        <v>54</v>
      </c>
      <c r="H65" s="117"/>
      <c r="I65" s="48"/>
      <c r="J65" s="36">
        <f t="shared" si="1"/>
        <v>54</v>
      </c>
    </row>
    <row r="66" spans="1:10" ht="16.5" thickBot="1" x14ac:dyDescent="0.3">
      <c r="A66" s="36">
        <f t="shared" si="0"/>
        <v>55</v>
      </c>
      <c r="B66" s="41" t="s">
        <v>463</v>
      </c>
      <c r="G66" s="105">
        <f>G62+G63</f>
        <v>0</v>
      </c>
      <c r="H66" s="117"/>
      <c r="I66" s="48" t="str">
        <f>"Line "&amp;A62&amp;" + Line "&amp;A63&amp;"; Col. d"</f>
        <v>Line 51 + Line 52; Col. d</v>
      </c>
      <c r="J66" s="36">
        <f t="shared" si="1"/>
        <v>55</v>
      </c>
    </row>
    <row r="67" spans="1:10" ht="16.5" thickTop="1" x14ac:dyDescent="0.25">
      <c r="B67" s="41"/>
      <c r="G67" s="117"/>
      <c r="H67" s="117"/>
      <c r="I67" s="48"/>
      <c r="J67" s="36"/>
    </row>
    <row r="68" spans="1:10" x14ac:dyDescent="0.25">
      <c r="B68" s="41"/>
      <c r="G68" s="117"/>
      <c r="H68" s="117"/>
      <c r="I68" s="48"/>
      <c r="J68" s="36"/>
    </row>
    <row r="69" spans="1:10" ht="18.75" x14ac:dyDescent="0.25">
      <c r="A69" s="67">
        <v>1</v>
      </c>
      <c r="B69" s="18" t="s">
        <v>464</v>
      </c>
      <c r="G69" s="63"/>
      <c r="H69" s="63"/>
      <c r="J69" s="36" t="s">
        <v>228</v>
      </c>
    </row>
    <row r="70" spans="1:10" ht="18.75" x14ac:dyDescent="0.25">
      <c r="A70" s="67"/>
      <c r="B70" s="18"/>
      <c r="G70" s="63"/>
      <c r="H70" s="63"/>
      <c r="J70" s="36"/>
    </row>
    <row r="71" spans="1:10" ht="18.75" x14ac:dyDescent="0.25">
      <c r="A71" s="67"/>
      <c r="B71" s="18"/>
      <c r="D71" s="36"/>
      <c r="G71" s="63"/>
      <c r="H71" s="63"/>
      <c r="J71" s="36"/>
    </row>
    <row r="72" spans="1:10" x14ac:dyDescent="0.25">
      <c r="B72" s="808" t="s">
        <v>401</v>
      </c>
      <c r="C72" s="808"/>
      <c r="D72" s="808"/>
      <c r="E72" s="808"/>
      <c r="F72" s="808"/>
      <c r="G72" s="808"/>
      <c r="H72" s="808"/>
      <c r="I72" s="808"/>
      <c r="J72" s="36"/>
    </row>
    <row r="73" spans="1:10" x14ac:dyDescent="0.25">
      <c r="B73" s="808" t="s">
        <v>402</v>
      </c>
      <c r="C73" s="808"/>
      <c r="D73" s="808"/>
      <c r="E73" s="808"/>
      <c r="F73" s="808"/>
      <c r="G73" s="808"/>
      <c r="H73" s="808"/>
      <c r="I73" s="808"/>
      <c r="J73" s="36"/>
    </row>
    <row r="74" spans="1:10" x14ac:dyDescent="0.25">
      <c r="B74" s="808" t="s">
        <v>403</v>
      </c>
      <c r="C74" s="808"/>
      <c r="D74" s="808"/>
      <c r="E74" s="808"/>
      <c r="F74" s="808"/>
      <c r="G74" s="808"/>
      <c r="H74" s="808"/>
      <c r="I74" s="808"/>
      <c r="J74" s="36"/>
    </row>
    <row r="75" spans="1:10" x14ac:dyDescent="0.25">
      <c r="B75" s="811" t="str">
        <f>B6</f>
        <v>Base Period &amp; True-Up Period 12 - Months Ending December 31, 2020</v>
      </c>
      <c r="C75" s="811"/>
      <c r="D75" s="811"/>
      <c r="E75" s="811"/>
      <c r="F75" s="811"/>
      <c r="G75" s="811"/>
      <c r="H75" s="811"/>
      <c r="I75" s="811"/>
      <c r="J75" s="36"/>
    </row>
    <row r="76" spans="1:10" x14ac:dyDescent="0.25">
      <c r="B76" s="810" t="s">
        <v>3</v>
      </c>
      <c r="C76" s="812"/>
      <c r="D76" s="812"/>
      <c r="E76" s="812"/>
      <c r="F76" s="812"/>
      <c r="G76" s="812"/>
      <c r="H76" s="812"/>
      <c r="I76" s="812"/>
      <c r="J76" s="36"/>
    </row>
    <row r="77" spans="1:10" x14ac:dyDescent="0.25">
      <c r="B77" s="36"/>
      <c r="C77" s="36"/>
      <c r="D77" s="36"/>
      <c r="E77" s="36"/>
      <c r="F77" s="36"/>
      <c r="G77" s="36"/>
      <c r="H77" s="36"/>
      <c r="I77" s="48"/>
      <c r="J77" s="36"/>
    </row>
    <row r="78" spans="1:10" x14ac:dyDescent="0.25">
      <c r="A78" s="36" t="s">
        <v>4</v>
      </c>
      <c r="B78" s="369"/>
      <c r="C78" s="369"/>
      <c r="D78" s="369"/>
      <c r="E78" s="369"/>
      <c r="F78" s="369"/>
      <c r="G78" s="369"/>
      <c r="H78" s="369"/>
      <c r="I78" s="48"/>
      <c r="J78" s="36" t="s">
        <v>4</v>
      </c>
    </row>
    <row r="79" spans="1:10" x14ac:dyDescent="0.25">
      <c r="A79" s="36" t="s">
        <v>5</v>
      </c>
      <c r="B79" s="36"/>
      <c r="C79" s="36"/>
      <c r="D79" s="36"/>
      <c r="E79" s="36"/>
      <c r="F79" s="36"/>
      <c r="G79" s="692" t="s">
        <v>7</v>
      </c>
      <c r="H79" s="369"/>
      <c r="I79" s="715" t="s">
        <v>8</v>
      </c>
      <c r="J79" s="36" t="s">
        <v>5</v>
      </c>
    </row>
    <row r="80" spans="1:10" x14ac:dyDescent="0.25">
      <c r="G80" s="36"/>
      <c r="H80" s="36"/>
      <c r="I80" s="48"/>
      <c r="J80" s="36"/>
    </row>
    <row r="81" spans="1:13" ht="18.75" x14ac:dyDescent="0.25">
      <c r="A81" s="36">
        <v>1</v>
      </c>
      <c r="B81" s="41" t="s">
        <v>465</v>
      </c>
      <c r="E81" s="369"/>
      <c r="F81" s="369"/>
      <c r="G81" s="124"/>
      <c r="H81" s="124"/>
      <c r="I81" s="48"/>
      <c r="J81" s="36">
        <v>1</v>
      </c>
    </row>
    <row r="82" spans="1:13" x14ac:dyDescent="0.25">
      <c r="A82" s="36">
        <f>A81+1</f>
        <v>2</v>
      </c>
      <c r="B82" s="125"/>
      <c r="E82" s="369"/>
      <c r="F82" s="369"/>
      <c r="G82" s="124"/>
      <c r="H82" s="124"/>
      <c r="I82" s="48"/>
      <c r="J82" s="36">
        <f>J81+1</f>
        <v>2</v>
      </c>
    </row>
    <row r="83" spans="1:13" x14ac:dyDescent="0.25">
      <c r="A83" s="36">
        <f>A82+1</f>
        <v>3</v>
      </c>
      <c r="B83" s="41" t="s">
        <v>466</v>
      </c>
      <c r="E83" s="369"/>
      <c r="F83" s="369"/>
      <c r="G83" s="124"/>
      <c r="H83" s="124"/>
      <c r="I83" s="48"/>
      <c r="J83" s="36">
        <f>J82+1</f>
        <v>3</v>
      </c>
    </row>
    <row r="84" spans="1:13" x14ac:dyDescent="0.25">
      <c r="A84" s="36">
        <f>A83+1</f>
        <v>4</v>
      </c>
      <c r="B84" s="369"/>
      <c r="C84" s="369"/>
      <c r="D84" s="369"/>
      <c r="E84" s="369"/>
      <c r="F84" s="369"/>
      <c r="G84" s="124"/>
      <c r="H84" s="124"/>
      <c r="I84" s="48"/>
      <c r="J84" s="36">
        <f>J83+1</f>
        <v>4</v>
      </c>
    </row>
    <row r="85" spans="1:13" x14ac:dyDescent="0.25">
      <c r="A85" s="36">
        <f t="shared" ref="A85:A111" si="2">A84+1</f>
        <v>5</v>
      </c>
      <c r="B85" s="43" t="s">
        <v>467</v>
      </c>
      <c r="C85" s="369"/>
      <c r="D85" s="369"/>
      <c r="E85" s="369"/>
      <c r="F85" s="369"/>
      <c r="G85" s="124"/>
      <c r="H85" s="124"/>
      <c r="I85" s="126"/>
      <c r="J85" s="36">
        <f t="shared" ref="J85:J111" si="3">J84+1</f>
        <v>5</v>
      </c>
    </row>
    <row r="86" spans="1:13" x14ac:dyDescent="0.25">
      <c r="A86" s="36">
        <f t="shared" si="2"/>
        <v>6</v>
      </c>
      <c r="B86" s="37" t="s">
        <v>468</v>
      </c>
      <c r="D86" s="369"/>
      <c r="E86" s="369"/>
      <c r="F86" s="369"/>
      <c r="G86" s="127">
        <f>G53</f>
        <v>5.9534869804339169E-2</v>
      </c>
      <c r="H86" s="369"/>
      <c r="I86" s="48" t="s">
        <v>469</v>
      </c>
      <c r="J86" s="36">
        <f t="shared" si="3"/>
        <v>6</v>
      </c>
      <c r="L86" s="36"/>
    </row>
    <row r="87" spans="1:13" x14ac:dyDescent="0.25">
      <c r="A87" s="36">
        <f t="shared" si="2"/>
        <v>7</v>
      </c>
      <c r="B87" s="37" t="s">
        <v>470</v>
      </c>
      <c r="D87" s="369"/>
      <c r="E87" s="369"/>
      <c r="F87" s="369"/>
      <c r="G87" s="701">
        <v>3401.5196755720262</v>
      </c>
      <c r="H87" s="25" t="s">
        <v>31</v>
      </c>
      <c r="I87" s="48" t="s">
        <v>471</v>
      </c>
      <c r="J87" s="36">
        <f t="shared" si="3"/>
        <v>7</v>
      </c>
      <c r="L87" s="36"/>
    </row>
    <row r="88" spans="1:13" ht="18.75" x14ac:dyDescent="0.25">
      <c r="A88" s="36">
        <f t="shared" si="2"/>
        <v>8</v>
      </c>
      <c r="B88" s="37" t="s">
        <v>472</v>
      </c>
      <c r="D88" s="369"/>
      <c r="E88" s="369"/>
      <c r="F88" s="369"/>
      <c r="G88" s="129">
        <v>8264.7629899999993</v>
      </c>
      <c r="H88" s="369"/>
      <c r="I88" s="122" t="s">
        <v>473</v>
      </c>
      <c r="J88" s="36">
        <f t="shared" si="3"/>
        <v>8</v>
      </c>
      <c r="L88" s="369"/>
    </row>
    <row r="89" spans="1:13" x14ac:dyDescent="0.25">
      <c r="A89" s="36">
        <f t="shared" si="2"/>
        <v>9</v>
      </c>
      <c r="B89" s="37" t="s">
        <v>474</v>
      </c>
      <c r="D89" s="369"/>
      <c r="E89" s="130"/>
      <c r="F89" s="369"/>
      <c r="G89" s="131">
        <v>4556080.4008445432</v>
      </c>
      <c r="H89" s="25" t="s">
        <v>31</v>
      </c>
      <c r="I89" s="122" t="s">
        <v>475</v>
      </c>
      <c r="J89" s="36">
        <f t="shared" si="3"/>
        <v>9</v>
      </c>
    </row>
    <row r="90" spans="1:13" x14ac:dyDescent="0.25">
      <c r="A90" s="36">
        <f t="shared" si="2"/>
        <v>10</v>
      </c>
      <c r="B90" s="37" t="s">
        <v>476</v>
      </c>
      <c r="D90" s="132"/>
      <c r="E90" s="369"/>
      <c r="F90" s="369"/>
      <c r="G90" s="720">
        <v>0.21</v>
      </c>
      <c r="H90" s="369"/>
      <c r="I90" s="48" t="s">
        <v>477</v>
      </c>
      <c r="J90" s="36">
        <f t="shared" si="3"/>
        <v>10</v>
      </c>
      <c r="M90" s="133"/>
    </row>
    <row r="91" spans="1:13" x14ac:dyDescent="0.25">
      <c r="A91" s="36">
        <f t="shared" si="2"/>
        <v>11</v>
      </c>
      <c r="G91" s="36"/>
      <c r="H91" s="36"/>
      <c r="J91" s="36">
        <f t="shared" si="3"/>
        <v>11</v>
      </c>
    </row>
    <row r="92" spans="1:13" x14ac:dyDescent="0.25">
      <c r="A92" s="36">
        <f t="shared" si="2"/>
        <v>12</v>
      </c>
      <c r="B92" s="37" t="s">
        <v>478</v>
      </c>
      <c r="D92" s="369"/>
      <c r="E92" s="369"/>
      <c r="F92" s="369"/>
      <c r="G92" s="702">
        <f>(((G86)+(G88/G89))*G90-(G87/G89))/(1-G90)</f>
        <v>1.5362879937068941E-2</v>
      </c>
      <c r="H92" s="25" t="s">
        <v>31</v>
      </c>
      <c r="I92" s="48" t="s">
        <v>479</v>
      </c>
      <c r="J92" s="36">
        <f t="shared" si="3"/>
        <v>12</v>
      </c>
      <c r="M92" s="135"/>
    </row>
    <row r="93" spans="1:13" x14ac:dyDescent="0.25">
      <c r="A93" s="36">
        <f t="shared" si="2"/>
        <v>13</v>
      </c>
      <c r="B93" s="136" t="s">
        <v>480</v>
      </c>
      <c r="G93" s="36"/>
      <c r="H93" s="36"/>
      <c r="J93" s="36">
        <f t="shared" si="3"/>
        <v>13</v>
      </c>
    </row>
    <row r="94" spans="1:13" x14ac:dyDescent="0.25">
      <c r="A94" s="36">
        <f t="shared" si="2"/>
        <v>14</v>
      </c>
      <c r="G94" s="36"/>
      <c r="H94" s="36"/>
      <c r="J94" s="36">
        <f t="shared" si="3"/>
        <v>14</v>
      </c>
    </row>
    <row r="95" spans="1:13" x14ac:dyDescent="0.25">
      <c r="A95" s="36">
        <f t="shared" si="2"/>
        <v>15</v>
      </c>
      <c r="B95" s="41" t="s">
        <v>481</v>
      </c>
      <c r="C95" s="369"/>
      <c r="D95" s="369"/>
      <c r="E95" s="369"/>
      <c r="F95" s="369"/>
      <c r="G95" s="137"/>
      <c r="H95" s="137"/>
      <c r="I95" s="138"/>
      <c r="J95" s="36">
        <f t="shared" si="3"/>
        <v>15</v>
      </c>
      <c r="L95" s="139"/>
    </row>
    <row r="96" spans="1:13" x14ac:dyDescent="0.25">
      <c r="A96" s="36">
        <f t="shared" si="2"/>
        <v>16</v>
      </c>
      <c r="B96" s="53"/>
      <c r="C96" s="369"/>
      <c r="D96" s="369"/>
      <c r="E96" s="369"/>
      <c r="F96" s="369"/>
      <c r="G96" s="137"/>
      <c r="H96" s="137"/>
      <c r="I96" s="140"/>
      <c r="J96" s="36">
        <f t="shared" si="3"/>
        <v>16</v>
      </c>
      <c r="L96" s="369"/>
    </row>
    <row r="97" spans="1:13" x14ac:dyDescent="0.25">
      <c r="A97" s="36">
        <f t="shared" si="2"/>
        <v>17</v>
      </c>
      <c r="B97" s="43" t="s">
        <v>467</v>
      </c>
      <c r="C97" s="369"/>
      <c r="D97" s="369"/>
      <c r="E97" s="369"/>
      <c r="F97" s="369"/>
      <c r="G97" s="137"/>
      <c r="H97" s="137"/>
      <c r="I97" s="140"/>
      <c r="J97" s="36">
        <f t="shared" si="3"/>
        <v>17</v>
      </c>
      <c r="L97" s="369"/>
    </row>
    <row r="98" spans="1:13" x14ac:dyDescent="0.25">
      <c r="A98" s="36">
        <f t="shared" si="2"/>
        <v>18</v>
      </c>
      <c r="B98" s="37" t="s">
        <v>468</v>
      </c>
      <c r="D98" s="369"/>
      <c r="E98" s="369"/>
      <c r="F98" s="369"/>
      <c r="G98" s="113">
        <f>G86</f>
        <v>5.9534869804339169E-2</v>
      </c>
      <c r="H98" s="113"/>
      <c r="I98" s="48" t="str">
        <f>"Line "&amp;A86&amp;" Above"</f>
        <v>Line 6 Above</v>
      </c>
      <c r="J98" s="36">
        <f t="shared" si="3"/>
        <v>18</v>
      </c>
      <c r="L98" s="36"/>
    </row>
    <row r="99" spans="1:13" x14ac:dyDescent="0.25">
      <c r="A99" s="36">
        <f t="shared" si="2"/>
        <v>19</v>
      </c>
      <c r="B99" s="37" t="s">
        <v>482</v>
      </c>
      <c r="D99" s="369"/>
      <c r="E99" s="369"/>
      <c r="F99" s="369"/>
      <c r="G99" s="141">
        <f>G88</f>
        <v>8264.7629899999993</v>
      </c>
      <c r="H99" s="141"/>
      <c r="I99" s="48" t="str">
        <f>"Line "&amp;A88&amp;" Above"</f>
        <v>Line 8 Above</v>
      </c>
      <c r="J99" s="36">
        <f t="shared" si="3"/>
        <v>19</v>
      </c>
      <c r="L99" s="36"/>
    </row>
    <row r="100" spans="1:13" x14ac:dyDescent="0.25">
      <c r="A100" s="36">
        <f t="shared" si="2"/>
        <v>20</v>
      </c>
      <c r="B100" s="37" t="s">
        <v>483</v>
      </c>
      <c r="D100" s="369"/>
      <c r="E100" s="369"/>
      <c r="F100" s="369"/>
      <c r="G100" s="142">
        <f>G89</f>
        <v>4556080.4008445432</v>
      </c>
      <c r="H100" s="25" t="s">
        <v>31</v>
      </c>
      <c r="I100" s="48" t="str">
        <f>"Line "&amp;A89&amp;" Above"</f>
        <v>Line 9 Above</v>
      </c>
      <c r="J100" s="36">
        <f t="shared" si="3"/>
        <v>20</v>
      </c>
      <c r="L100" s="36"/>
    </row>
    <row r="101" spans="1:13" x14ac:dyDescent="0.25">
      <c r="A101" s="36">
        <f t="shared" si="2"/>
        <v>21</v>
      </c>
      <c r="B101" s="37" t="s">
        <v>484</v>
      </c>
      <c r="D101" s="369"/>
      <c r="E101" s="369"/>
      <c r="F101" s="369"/>
      <c r="G101" s="703">
        <f>G92</f>
        <v>1.5362879937068941E-2</v>
      </c>
      <c r="H101" s="25" t="s">
        <v>31</v>
      </c>
      <c r="I101" s="48" t="str">
        <f>"Line "&amp;A92&amp;" Above"</f>
        <v>Line 12 Above</v>
      </c>
      <c r="J101" s="36">
        <f t="shared" si="3"/>
        <v>21</v>
      </c>
    </row>
    <row r="102" spans="1:13" x14ac:dyDescent="0.25">
      <c r="A102" s="36">
        <f t="shared" si="2"/>
        <v>22</v>
      </c>
      <c r="B102" s="37" t="s">
        <v>485</v>
      </c>
      <c r="D102" s="369"/>
      <c r="E102" s="369"/>
      <c r="F102" s="369"/>
      <c r="G102" s="721">
        <v>8.8400000000000006E-2</v>
      </c>
      <c r="H102" s="369"/>
      <c r="I102" s="48" t="s">
        <v>486</v>
      </c>
      <c r="J102" s="36">
        <f t="shared" si="3"/>
        <v>22</v>
      </c>
    </row>
    <row r="103" spans="1:13" x14ac:dyDescent="0.25">
      <c r="A103" s="36">
        <f t="shared" si="2"/>
        <v>23</v>
      </c>
      <c r="B103" s="607"/>
      <c r="D103" s="369"/>
      <c r="E103" s="369"/>
      <c r="F103" s="369"/>
      <c r="G103" s="144"/>
      <c r="H103" s="144"/>
      <c r="I103" s="140"/>
      <c r="J103" s="36">
        <f t="shared" si="3"/>
        <v>23</v>
      </c>
    </row>
    <row r="104" spans="1:13" x14ac:dyDescent="0.25">
      <c r="A104" s="36">
        <f t="shared" si="2"/>
        <v>24</v>
      </c>
      <c r="B104" s="37" t="s">
        <v>487</v>
      </c>
      <c r="C104" s="36"/>
      <c r="D104" s="36"/>
      <c r="E104" s="369"/>
      <c r="F104" s="369"/>
      <c r="G104" s="722">
        <f>((G98)+(G99/G100)+G92)*G102/(1-G102)</f>
        <v>7.4389198334792695E-3</v>
      </c>
      <c r="H104" s="25" t="s">
        <v>31</v>
      </c>
      <c r="I104" s="48" t="s">
        <v>488</v>
      </c>
      <c r="J104" s="36">
        <f t="shared" si="3"/>
        <v>24</v>
      </c>
    </row>
    <row r="105" spans="1:13" x14ac:dyDescent="0.25">
      <c r="A105" s="36">
        <f t="shared" si="2"/>
        <v>25</v>
      </c>
      <c r="B105" s="136" t="s">
        <v>489</v>
      </c>
      <c r="G105" s="36"/>
      <c r="H105" s="36"/>
      <c r="I105" s="48"/>
      <c r="J105" s="36">
        <f t="shared" si="3"/>
        <v>25</v>
      </c>
      <c r="L105" s="36"/>
    </row>
    <row r="106" spans="1:13" x14ac:dyDescent="0.25">
      <c r="A106" s="36">
        <f t="shared" si="2"/>
        <v>26</v>
      </c>
      <c r="G106" s="36"/>
      <c r="H106" s="36"/>
      <c r="I106" s="48"/>
      <c r="J106" s="36">
        <f t="shared" si="3"/>
        <v>26</v>
      </c>
      <c r="L106" s="36"/>
    </row>
    <row r="107" spans="1:13" x14ac:dyDescent="0.25">
      <c r="A107" s="36">
        <f t="shared" si="2"/>
        <v>27</v>
      </c>
      <c r="B107" s="41" t="s">
        <v>490</v>
      </c>
      <c r="G107" s="702">
        <f>G104+G92</f>
        <v>2.280179977054821E-2</v>
      </c>
      <c r="H107" s="25" t="s">
        <v>31</v>
      </c>
      <c r="I107" s="48" t="str">
        <f>"Line "&amp;A92&amp;" + Line "&amp;A104</f>
        <v>Line 12 + Line 24</v>
      </c>
      <c r="J107" s="36">
        <f t="shared" si="3"/>
        <v>27</v>
      </c>
      <c r="L107" s="36"/>
    </row>
    <row r="108" spans="1:13" x14ac:dyDescent="0.25">
      <c r="A108" s="36">
        <f t="shared" si="2"/>
        <v>28</v>
      </c>
      <c r="G108" s="36"/>
      <c r="H108" s="36"/>
      <c r="I108" s="48"/>
      <c r="J108" s="36">
        <f t="shared" si="3"/>
        <v>28</v>
      </c>
      <c r="L108" s="36"/>
    </row>
    <row r="109" spans="1:13" x14ac:dyDescent="0.25">
      <c r="A109" s="36">
        <f t="shared" si="2"/>
        <v>29</v>
      </c>
      <c r="B109" s="41" t="s">
        <v>491</v>
      </c>
      <c r="G109" s="723">
        <f>G51</f>
        <v>7.6903381456357389E-2</v>
      </c>
      <c r="H109" s="369"/>
      <c r="I109" s="48" t="str">
        <f>"AV1; Line "&amp;A51</f>
        <v>AV1; Line 40</v>
      </c>
      <c r="J109" s="36">
        <f t="shared" si="3"/>
        <v>29</v>
      </c>
      <c r="L109" s="36"/>
    </row>
    <row r="110" spans="1:13" x14ac:dyDescent="0.25">
      <c r="A110" s="36">
        <f t="shared" si="2"/>
        <v>30</v>
      </c>
      <c r="G110" s="113"/>
      <c r="H110" s="113"/>
      <c r="I110" s="48"/>
      <c r="J110" s="36">
        <f t="shared" si="3"/>
        <v>30</v>
      </c>
      <c r="L110" s="36"/>
    </row>
    <row r="111" spans="1:13" ht="19.5" thickBot="1" x14ac:dyDescent="0.3">
      <c r="A111" s="36">
        <f t="shared" si="2"/>
        <v>31</v>
      </c>
      <c r="B111" s="41" t="s">
        <v>492</v>
      </c>
      <c r="G111" s="704">
        <f>G107+G109</f>
        <v>9.9705181226905595E-2</v>
      </c>
      <c r="H111" s="25" t="s">
        <v>31</v>
      </c>
      <c r="I111" s="48" t="str">
        <f>"Line "&amp;A107&amp;" + Line "&amp;A109</f>
        <v>Line 27 + Line 29</v>
      </c>
      <c r="J111" s="36">
        <f t="shared" si="3"/>
        <v>31</v>
      </c>
      <c r="L111" s="147"/>
      <c r="M111" s="135"/>
    </row>
    <row r="112" spans="1:13" ht="16.5" thickTop="1" x14ac:dyDescent="0.25">
      <c r="B112" s="41"/>
      <c r="G112" s="145"/>
      <c r="H112" s="145"/>
      <c r="I112" s="48"/>
      <c r="J112" s="36"/>
      <c r="L112" s="147"/>
      <c r="M112" s="135"/>
    </row>
    <row r="113" spans="1:13" x14ac:dyDescent="0.25">
      <c r="B113" s="41"/>
      <c r="G113" s="149"/>
      <c r="H113" s="149"/>
      <c r="I113" s="48"/>
      <c r="J113" s="36"/>
      <c r="L113" s="147"/>
      <c r="M113" s="135"/>
    </row>
    <row r="114" spans="1:13" x14ac:dyDescent="0.25">
      <c r="A114" s="25" t="s">
        <v>31</v>
      </c>
      <c r="B114" s="23" t="s">
        <v>598</v>
      </c>
      <c r="G114" s="149"/>
      <c r="H114" s="149"/>
      <c r="I114" s="48"/>
      <c r="J114" s="36"/>
      <c r="L114" s="147"/>
      <c r="M114" s="135"/>
    </row>
    <row r="115" spans="1:13" x14ac:dyDescent="0.25">
      <c r="A115" s="25"/>
      <c r="B115" s="23" t="s">
        <v>599</v>
      </c>
      <c r="G115" s="149"/>
      <c r="H115" s="149"/>
      <c r="I115" s="48"/>
      <c r="J115" s="36"/>
      <c r="L115" s="147"/>
      <c r="M115" s="135"/>
    </row>
    <row r="116" spans="1:13" ht="18.75" x14ac:dyDescent="0.25">
      <c r="A116" s="362">
        <v>1</v>
      </c>
      <c r="B116" s="18" t="s">
        <v>493</v>
      </c>
      <c r="G116" s="149"/>
      <c r="H116" s="149"/>
      <c r="I116" s="48"/>
      <c r="J116" s="36"/>
      <c r="L116" s="147"/>
      <c r="M116" s="135"/>
    </row>
    <row r="117" spans="1:13" ht="18.75" x14ac:dyDescent="0.25">
      <c r="A117" s="362"/>
      <c r="B117" s="18"/>
      <c r="G117" s="149"/>
      <c r="H117" s="149"/>
      <c r="I117" s="48"/>
      <c r="J117" s="36"/>
      <c r="L117" s="147"/>
      <c r="M117" s="135"/>
    </row>
    <row r="118" spans="1:13" x14ac:dyDescent="0.25">
      <c r="A118" s="150"/>
      <c r="B118" s="607"/>
      <c r="C118" s="38"/>
      <c r="D118" s="38"/>
      <c r="E118" s="38"/>
      <c r="F118" s="38"/>
      <c r="G118" s="151"/>
      <c r="H118" s="151"/>
      <c r="I118" s="363"/>
      <c r="J118" s="36"/>
    </row>
    <row r="119" spans="1:13" x14ac:dyDescent="0.25">
      <c r="B119" s="808" t="s">
        <v>19</v>
      </c>
      <c r="C119" s="808"/>
      <c r="D119" s="808"/>
      <c r="E119" s="808"/>
      <c r="F119" s="808"/>
      <c r="G119" s="808"/>
      <c r="H119" s="808"/>
      <c r="I119" s="808"/>
    </row>
    <row r="120" spans="1:13" x14ac:dyDescent="0.25">
      <c r="B120" s="808" t="s">
        <v>402</v>
      </c>
      <c r="C120" s="808"/>
      <c r="D120" s="808"/>
      <c r="E120" s="808"/>
      <c r="F120" s="808"/>
      <c r="G120" s="808"/>
      <c r="H120" s="808"/>
      <c r="I120" s="808"/>
    </row>
    <row r="121" spans="1:13" x14ac:dyDescent="0.25">
      <c r="B121" s="808" t="s">
        <v>403</v>
      </c>
      <c r="C121" s="808"/>
      <c r="D121" s="808"/>
      <c r="E121" s="808"/>
      <c r="F121" s="808"/>
      <c r="G121" s="808"/>
      <c r="H121" s="808"/>
      <c r="I121" s="808"/>
    </row>
    <row r="122" spans="1:13" x14ac:dyDescent="0.25">
      <c r="B122" s="811" t="str">
        <f>B6</f>
        <v>Base Period &amp; True-Up Period 12 - Months Ending December 31, 2020</v>
      </c>
      <c r="C122" s="811"/>
      <c r="D122" s="811"/>
      <c r="E122" s="811"/>
      <c r="F122" s="811"/>
      <c r="G122" s="811"/>
      <c r="H122" s="811"/>
      <c r="I122" s="811"/>
    </row>
    <row r="123" spans="1:13" x14ac:dyDescent="0.25">
      <c r="B123" s="810" t="s">
        <v>3</v>
      </c>
      <c r="C123" s="812"/>
      <c r="D123" s="812"/>
      <c r="E123" s="812"/>
      <c r="F123" s="812"/>
      <c r="G123" s="812"/>
      <c r="H123" s="812"/>
      <c r="I123" s="812"/>
    </row>
    <row r="125" spans="1:13" x14ac:dyDescent="0.25">
      <c r="A125" s="36" t="s">
        <v>4</v>
      </c>
      <c r="B125" s="369"/>
      <c r="C125" s="369"/>
      <c r="D125" s="369"/>
      <c r="E125" s="369"/>
      <c r="F125" s="369"/>
      <c r="G125" s="369"/>
      <c r="H125" s="369"/>
      <c r="I125" s="48"/>
      <c r="J125" s="36" t="s">
        <v>4</v>
      </c>
    </row>
    <row r="126" spans="1:13" x14ac:dyDescent="0.25">
      <c r="A126" s="36" t="s">
        <v>5</v>
      </c>
      <c r="B126" s="36"/>
      <c r="C126" s="36"/>
      <c r="D126" s="36"/>
      <c r="E126" s="36"/>
      <c r="F126" s="36"/>
      <c r="G126" s="692" t="s">
        <v>7</v>
      </c>
      <c r="H126" s="369"/>
      <c r="I126" s="715" t="s">
        <v>8</v>
      </c>
      <c r="J126" s="36" t="s">
        <v>5</v>
      </c>
    </row>
    <row r="128" spans="1:13" ht="18.75" x14ac:dyDescent="0.25">
      <c r="A128" s="36">
        <v>1</v>
      </c>
      <c r="B128" s="41" t="s">
        <v>494</v>
      </c>
      <c r="J128" s="36">
        <v>1</v>
      </c>
    </row>
    <row r="129" spans="1:10" x14ac:dyDescent="0.25">
      <c r="A129" s="36">
        <f>A128+1</f>
        <v>2</v>
      </c>
      <c r="B129" s="125"/>
      <c r="J129" s="36">
        <f>J128+1</f>
        <v>2</v>
      </c>
    </row>
    <row r="130" spans="1:10" x14ac:dyDescent="0.25">
      <c r="A130" s="36">
        <f>A129+1</f>
        <v>3</v>
      </c>
      <c r="B130" s="41" t="s">
        <v>466</v>
      </c>
      <c r="J130" s="36">
        <f>J129+1</f>
        <v>3</v>
      </c>
    </row>
    <row r="131" spans="1:10" x14ac:dyDescent="0.25">
      <c r="A131" s="36">
        <f>A130+1</f>
        <v>4</v>
      </c>
      <c r="B131" s="369"/>
      <c r="J131" s="36">
        <f>J130+1</f>
        <v>4</v>
      </c>
    </row>
    <row r="132" spans="1:10" x14ac:dyDescent="0.25">
      <c r="A132" s="36">
        <f t="shared" ref="A132:A158" si="4">A131+1</f>
        <v>5</v>
      </c>
      <c r="B132" s="43" t="s">
        <v>467</v>
      </c>
      <c r="J132" s="36">
        <f t="shared" ref="J132:J158" si="5">J131+1</f>
        <v>5</v>
      </c>
    </row>
    <row r="133" spans="1:10" x14ac:dyDescent="0.25">
      <c r="A133" s="36">
        <f t="shared" si="4"/>
        <v>6</v>
      </c>
      <c r="B133" s="37" t="str">
        <f>B86</f>
        <v xml:space="preserve">     A = Sum of Preferred Stock and Return on Equity Component</v>
      </c>
      <c r="G133" s="127">
        <f>G66</f>
        <v>0</v>
      </c>
      <c r="I133" s="48" t="str">
        <f>"AV1; Line "&amp;A66</f>
        <v>AV1; Line 55</v>
      </c>
      <c r="J133" s="36">
        <f t="shared" si="5"/>
        <v>6</v>
      </c>
    </row>
    <row r="134" spans="1:10" x14ac:dyDescent="0.25">
      <c r="A134" s="36">
        <f t="shared" si="4"/>
        <v>7</v>
      </c>
      <c r="B134" s="37" t="str">
        <f>B87</f>
        <v xml:space="preserve">     B = Transmission Total Federal Tax Adjustments</v>
      </c>
      <c r="G134" s="148">
        <v>0</v>
      </c>
      <c r="I134" s="122" t="s">
        <v>265</v>
      </c>
      <c r="J134" s="36">
        <f t="shared" si="5"/>
        <v>7</v>
      </c>
    </row>
    <row r="135" spans="1:10" x14ac:dyDescent="0.25">
      <c r="A135" s="36">
        <f t="shared" si="4"/>
        <v>8</v>
      </c>
      <c r="B135" s="37" t="s">
        <v>495</v>
      </c>
      <c r="G135" s="364">
        <v>0</v>
      </c>
      <c r="I135" s="122" t="s">
        <v>265</v>
      </c>
      <c r="J135" s="36">
        <f t="shared" si="5"/>
        <v>8</v>
      </c>
    </row>
    <row r="136" spans="1:10" x14ac:dyDescent="0.25">
      <c r="A136" s="36">
        <f t="shared" si="4"/>
        <v>9</v>
      </c>
      <c r="B136" s="37" t="s">
        <v>496</v>
      </c>
      <c r="G136" s="364">
        <v>0</v>
      </c>
      <c r="I136" s="122" t="s">
        <v>265</v>
      </c>
      <c r="J136" s="36">
        <f t="shared" si="5"/>
        <v>9</v>
      </c>
    </row>
    <row r="137" spans="1:10" x14ac:dyDescent="0.25">
      <c r="A137" s="36">
        <f t="shared" si="4"/>
        <v>10</v>
      </c>
      <c r="B137" s="37" t="str">
        <f>B90</f>
        <v xml:space="preserve">     FT = Federal Income Tax Rate for Rate Effective Period</v>
      </c>
      <c r="G137" s="724">
        <f>G90</f>
        <v>0.21</v>
      </c>
      <c r="I137" s="48" t="str">
        <f>"AV2; Line "&amp;A90</f>
        <v>AV2; Line 10</v>
      </c>
      <c r="J137" s="36">
        <f t="shared" si="5"/>
        <v>10</v>
      </c>
    </row>
    <row r="138" spans="1:10" x14ac:dyDescent="0.25">
      <c r="A138" s="36">
        <f t="shared" si="4"/>
        <v>11</v>
      </c>
      <c r="G138" s="36"/>
      <c r="J138" s="36">
        <f t="shared" si="5"/>
        <v>11</v>
      </c>
    </row>
    <row r="139" spans="1:10" x14ac:dyDescent="0.25">
      <c r="A139" s="36">
        <f t="shared" si="4"/>
        <v>12</v>
      </c>
      <c r="B139" s="37" t="s">
        <v>497</v>
      </c>
      <c r="G139" s="134">
        <f>IFERROR((((G133)+(G135/G136))*G137-(G134/G136))/(1-G137),0)</f>
        <v>0</v>
      </c>
      <c r="I139" s="48" t="s">
        <v>498</v>
      </c>
      <c r="J139" s="36">
        <f t="shared" si="5"/>
        <v>12</v>
      </c>
    </row>
    <row r="140" spans="1:10" x14ac:dyDescent="0.25">
      <c r="A140" s="36">
        <f t="shared" si="4"/>
        <v>13</v>
      </c>
      <c r="B140" s="136" t="s">
        <v>480</v>
      </c>
      <c r="G140" s="121"/>
      <c r="J140" s="36">
        <f t="shared" si="5"/>
        <v>13</v>
      </c>
    </row>
    <row r="141" spans="1:10" x14ac:dyDescent="0.25">
      <c r="A141" s="36">
        <f t="shared" si="4"/>
        <v>14</v>
      </c>
      <c r="G141" s="36"/>
      <c r="J141" s="36">
        <f t="shared" si="5"/>
        <v>14</v>
      </c>
    </row>
    <row r="142" spans="1:10" x14ac:dyDescent="0.25">
      <c r="A142" s="36">
        <f t="shared" si="4"/>
        <v>15</v>
      </c>
      <c r="B142" s="41" t="s">
        <v>481</v>
      </c>
      <c r="G142" s="137"/>
      <c r="I142" s="138"/>
      <c r="J142" s="36">
        <f t="shared" si="5"/>
        <v>15</v>
      </c>
    </row>
    <row r="143" spans="1:10" x14ac:dyDescent="0.25">
      <c r="A143" s="36">
        <f t="shared" si="4"/>
        <v>16</v>
      </c>
      <c r="B143" s="53"/>
      <c r="G143" s="137"/>
      <c r="I143" s="126"/>
      <c r="J143" s="36">
        <f t="shared" si="5"/>
        <v>16</v>
      </c>
    </row>
    <row r="144" spans="1:10" x14ac:dyDescent="0.25">
      <c r="A144" s="36">
        <f t="shared" si="4"/>
        <v>17</v>
      </c>
      <c r="B144" s="43" t="s">
        <v>467</v>
      </c>
      <c r="G144" s="137"/>
      <c r="I144" s="126"/>
      <c r="J144" s="36">
        <f t="shared" si="5"/>
        <v>17</v>
      </c>
    </row>
    <row r="145" spans="1:10" x14ac:dyDescent="0.25">
      <c r="A145" s="36">
        <f t="shared" si="4"/>
        <v>18</v>
      </c>
      <c r="B145" s="37" t="str">
        <f>B98</f>
        <v xml:space="preserve">     A = Sum of Preferred Stock and Return on Equity Component</v>
      </c>
      <c r="G145" s="113">
        <f>G133</f>
        <v>0</v>
      </c>
      <c r="I145" s="48" t="str">
        <f>"Line "&amp;A133&amp;" Above"</f>
        <v>Line 6 Above</v>
      </c>
      <c r="J145" s="36">
        <f t="shared" si="5"/>
        <v>18</v>
      </c>
    </row>
    <row r="146" spans="1:10" x14ac:dyDescent="0.25">
      <c r="A146" s="36">
        <f t="shared" si="4"/>
        <v>19</v>
      </c>
      <c r="B146" s="37" t="str">
        <f>B99</f>
        <v xml:space="preserve">     B = Equity AFUDC Component of Transmission Depreciation Expense</v>
      </c>
      <c r="G146" s="141">
        <f>G135</f>
        <v>0</v>
      </c>
      <c r="I146" s="48" t="str">
        <f>"Line "&amp;A135&amp;" Above"</f>
        <v>Line 8 Above</v>
      </c>
      <c r="J146" s="36">
        <f t="shared" si="5"/>
        <v>19</v>
      </c>
    </row>
    <row r="147" spans="1:10" x14ac:dyDescent="0.25">
      <c r="A147" s="36">
        <f t="shared" si="4"/>
        <v>20</v>
      </c>
      <c r="B147" s="37" t="s">
        <v>499</v>
      </c>
      <c r="G147" s="141">
        <f>G136</f>
        <v>0</v>
      </c>
      <c r="I147" s="48" t="str">
        <f>"Line "&amp;A136&amp;" Above"</f>
        <v>Line 9 Above</v>
      </c>
      <c r="J147" s="36">
        <f t="shared" si="5"/>
        <v>20</v>
      </c>
    </row>
    <row r="148" spans="1:10" x14ac:dyDescent="0.25">
      <c r="A148" s="36">
        <f t="shared" si="4"/>
        <v>21</v>
      </c>
      <c r="B148" s="37" t="str">
        <f>B101</f>
        <v xml:space="preserve">     FT = Federal Income Tax Expense</v>
      </c>
      <c r="G148" s="143">
        <f>G139</f>
        <v>0</v>
      </c>
      <c r="I148" s="48" t="str">
        <f>"Line "&amp;A139&amp;" Above"</f>
        <v>Line 12 Above</v>
      </c>
      <c r="J148" s="36">
        <f t="shared" si="5"/>
        <v>21</v>
      </c>
    </row>
    <row r="149" spans="1:10" x14ac:dyDescent="0.25">
      <c r="A149" s="36">
        <f t="shared" si="4"/>
        <v>22</v>
      </c>
      <c r="B149" s="37" t="str">
        <f>B102</f>
        <v xml:space="preserve">     ST = State Income Tax Rate for Rate Effective Period</v>
      </c>
      <c r="G149" s="725">
        <f>G102</f>
        <v>8.8400000000000006E-2</v>
      </c>
      <c r="I149" s="48" t="str">
        <f>"AV2; Line "&amp;A102</f>
        <v>AV2; Line 22</v>
      </c>
      <c r="J149" s="36">
        <f t="shared" si="5"/>
        <v>22</v>
      </c>
    </row>
    <row r="150" spans="1:10" x14ac:dyDescent="0.25">
      <c r="A150" s="36">
        <f t="shared" si="4"/>
        <v>23</v>
      </c>
      <c r="B150" s="607"/>
      <c r="G150" s="144"/>
      <c r="I150" s="140"/>
      <c r="J150" s="36">
        <f t="shared" si="5"/>
        <v>23</v>
      </c>
    </row>
    <row r="151" spans="1:10" x14ac:dyDescent="0.25">
      <c r="A151" s="36">
        <f t="shared" si="4"/>
        <v>24</v>
      </c>
      <c r="B151" s="37" t="s">
        <v>487</v>
      </c>
      <c r="G151" s="726">
        <f>IFERROR(((G145)+(G146/G147)+G139)*G149/(1-G149),0)</f>
        <v>0</v>
      </c>
      <c r="I151" s="48" t="s">
        <v>488</v>
      </c>
      <c r="J151" s="36">
        <f t="shared" si="5"/>
        <v>24</v>
      </c>
    </row>
    <row r="152" spans="1:10" x14ac:dyDescent="0.25">
      <c r="A152" s="36">
        <f t="shared" si="4"/>
        <v>25</v>
      </c>
      <c r="B152" s="136" t="s">
        <v>489</v>
      </c>
      <c r="G152" s="36"/>
      <c r="I152" s="48"/>
      <c r="J152" s="36">
        <f t="shared" si="5"/>
        <v>25</v>
      </c>
    </row>
    <row r="153" spans="1:10" x14ac:dyDescent="0.25">
      <c r="A153" s="36">
        <f t="shared" si="4"/>
        <v>26</v>
      </c>
      <c r="G153" s="36"/>
      <c r="I153" s="48"/>
      <c r="J153" s="36">
        <f t="shared" si="5"/>
        <v>26</v>
      </c>
    </row>
    <row r="154" spans="1:10" x14ac:dyDescent="0.25">
      <c r="A154" s="36">
        <f t="shared" si="4"/>
        <v>27</v>
      </c>
      <c r="B154" s="41" t="s">
        <v>490</v>
      </c>
      <c r="G154" s="134">
        <f>G151+G139</f>
        <v>0</v>
      </c>
      <c r="I154" s="48" t="str">
        <f>"Line "&amp;A139&amp;" + Line "&amp;A151</f>
        <v>Line 12 + Line 24</v>
      </c>
      <c r="J154" s="36">
        <f t="shared" si="5"/>
        <v>27</v>
      </c>
    </row>
    <row r="155" spans="1:10" x14ac:dyDescent="0.25">
      <c r="A155" s="36">
        <f t="shared" si="4"/>
        <v>28</v>
      </c>
      <c r="G155" s="36"/>
      <c r="I155" s="48"/>
      <c r="J155" s="36">
        <f t="shared" si="5"/>
        <v>28</v>
      </c>
    </row>
    <row r="156" spans="1:10" x14ac:dyDescent="0.25">
      <c r="A156" s="36">
        <f t="shared" si="4"/>
        <v>29</v>
      </c>
      <c r="B156" s="41" t="s">
        <v>500</v>
      </c>
      <c r="G156" s="727">
        <f>G64</f>
        <v>0</v>
      </c>
      <c r="I156" s="48" t="str">
        <f>"AV1; Line "&amp;A64</f>
        <v>AV1; Line 53</v>
      </c>
      <c r="J156" s="36">
        <f t="shared" si="5"/>
        <v>29</v>
      </c>
    </row>
    <row r="157" spans="1:10" x14ac:dyDescent="0.25">
      <c r="A157" s="36">
        <f t="shared" si="4"/>
        <v>30</v>
      </c>
      <c r="G157" s="36"/>
      <c r="I157" s="48"/>
      <c r="J157" s="36">
        <f t="shared" si="5"/>
        <v>30</v>
      </c>
    </row>
    <row r="158" spans="1:10" ht="19.5" thickBot="1" x14ac:dyDescent="0.3">
      <c r="A158" s="36">
        <f t="shared" si="4"/>
        <v>31</v>
      </c>
      <c r="B158" s="41" t="s">
        <v>501</v>
      </c>
      <c r="G158" s="152">
        <f>G154+G156</f>
        <v>0</v>
      </c>
      <c r="I158" s="48" t="str">
        <f>"Line "&amp;A154&amp;" + Line "&amp;A156</f>
        <v>Line 27 + Line 29</v>
      </c>
      <c r="J158" s="36">
        <f t="shared" si="5"/>
        <v>31</v>
      </c>
    </row>
    <row r="159" spans="1:10" ht="16.5" thickTop="1" x14ac:dyDescent="0.25"/>
    <row r="161" spans="1:2" ht="18.75" x14ac:dyDescent="0.25">
      <c r="A161" s="67"/>
      <c r="B161" s="18"/>
    </row>
  </sheetData>
  <mergeCells count="15">
    <mergeCell ref="B3:I3"/>
    <mergeCell ref="B72:I72"/>
    <mergeCell ref="B123:I123"/>
    <mergeCell ref="B120:I120"/>
    <mergeCell ref="B121:I121"/>
    <mergeCell ref="B122:I122"/>
    <mergeCell ref="B74:I74"/>
    <mergeCell ref="B75:I75"/>
    <mergeCell ref="B76:I76"/>
    <mergeCell ref="B119:I119"/>
    <mergeCell ref="B73:I7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9" fitToWidth="3" fitToHeight="3" orientation="portrait" r:id="rId1"/>
  <headerFooter scaleWithDoc="0" alignWithMargins="0">
    <oddHeader>&amp;C&amp;"Times New Roman,Bold"&amp;7AS FILED STMT AV WITH COST ADJ INCL. IN APPENDIX X CYCLE 11 (ER23-109)</oddHeader>
    <oddFooter>&amp;L&amp;F&amp;CPage 11.&amp;P&amp;R&amp;A</oddFooter>
  </headerFooter>
  <rowBreaks count="2" manualBreakCount="2">
    <brk id="70" max="16383" man="1"/>
    <brk id="117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89"/>
  <sheetViews>
    <sheetView zoomScale="80" zoomScaleNormal="80" workbookViewId="0"/>
  </sheetViews>
  <sheetFormatPr defaultColWidth="8.85546875" defaultRowHeight="15.75" x14ac:dyDescent="0.25"/>
  <cols>
    <col min="1" max="1" width="5.140625" style="525" customWidth="1"/>
    <col min="2" max="2" width="86.5703125" style="477" customWidth="1"/>
    <col min="3" max="3" width="21.85546875" style="477" customWidth="1"/>
    <col min="4" max="4" width="1.5703125" style="477" customWidth="1"/>
    <col min="5" max="5" width="48.5703125" style="477" customWidth="1"/>
    <col min="6" max="6" width="5.140625" style="525" customWidth="1"/>
    <col min="7" max="16384" width="8.85546875" style="477"/>
  </cols>
  <sheetData>
    <row r="1" spans="1:6" x14ac:dyDescent="0.25">
      <c r="A1" s="159"/>
      <c r="B1" s="163"/>
      <c r="C1" s="476"/>
      <c r="D1" s="476"/>
      <c r="E1" s="370"/>
      <c r="F1" s="159"/>
    </row>
    <row r="2" spans="1:6" x14ac:dyDescent="0.25">
      <c r="A2" s="159"/>
      <c r="B2" s="801" t="s">
        <v>19</v>
      </c>
      <c r="C2" s="822"/>
      <c r="D2" s="822"/>
      <c r="E2" s="822"/>
      <c r="F2" s="159"/>
    </row>
    <row r="3" spans="1:6" x14ac:dyDescent="0.25">
      <c r="A3" s="159" t="s">
        <v>228</v>
      </c>
      <c r="B3" s="801" t="s">
        <v>502</v>
      </c>
      <c r="C3" s="822"/>
      <c r="D3" s="822"/>
      <c r="E3" s="822"/>
      <c r="F3" s="159" t="s">
        <v>228</v>
      </c>
    </row>
    <row r="4" spans="1:6" x14ac:dyDescent="0.25">
      <c r="A4" s="159"/>
      <c r="B4" s="819" t="s">
        <v>71</v>
      </c>
      <c r="C4" s="820"/>
      <c r="D4" s="820"/>
      <c r="E4" s="820"/>
      <c r="F4" s="159"/>
    </row>
    <row r="5" spans="1:6" x14ac:dyDescent="0.25">
      <c r="A5" s="159"/>
      <c r="B5" s="821" t="s">
        <v>3</v>
      </c>
      <c r="C5" s="822"/>
      <c r="D5" s="822"/>
      <c r="E5" s="822"/>
      <c r="F5" s="159"/>
    </row>
    <row r="6" spans="1:6" x14ac:dyDescent="0.25">
      <c r="A6" s="159"/>
      <c r="B6" s="608"/>
      <c r="C6" s="163"/>
      <c r="D6" s="163"/>
      <c r="E6" s="163"/>
      <c r="F6" s="159"/>
    </row>
    <row r="7" spans="1:6" x14ac:dyDescent="0.25">
      <c r="A7" s="159" t="s">
        <v>4</v>
      </c>
      <c r="B7" s="163"/>
      <c r="C7" s="478"/>
      <c r="D7" s="478"/>
      <c r="E7" s="162"/>
      <c r="F7" s="159" t="s">
        <v>4</v>
      </c>
    </row>
    <row r="8" spans="1:6" x14ac:dyDescent="0.25">
      <c r="A8" s="159" t="s">
        <v>5</v>
      </c>
      <c r="B8" s="163" t="s">
        <v>228</v>
      </c>
      <c r="C8" s="479" t="s">
        <v>7</v>
      </c>
      <c r="D8" s="478"/>
      <c r="E8" s="480" t="s">
        <v>8</v>
      </c>
      <c r="F8" s="159" t="s">
        <v>5</v>
      </c>
    </row>
    <row r="9" spans="1:6" x14ac:dyDescent="0.25">
      <c r="A9" s="159"/>
      <c r="B9" s="316" t="s">
        <v>503</v>
      </c>
      <c r="C9" s="481"/>
      <c r="D9" s="478"/>
      <c r="E9" s="162"/>
      <c r="F9" s="159"/>
    </row>
    <row r="10" spans="1:6" x14ac:dyDescent="0.25">
      <c r="A10" s="159"/>
      <c r="B10" s="482"/>
      <c r="C10" s="481"/>
      <c r="D10" s="478"/>
      <c r="E10" s="162"/>
      <c r="F10" s="159"/>
    </row>
    <row r="11" spans="1:6" x14ac:dyDescent="0.25">
      <c r="A11" s="159">
        <v>1</v>
      </c>
      <c r="B11" s="316" t="s">
        <v>504</v>
      </c>
      <c r="C11" s="481"/>
      <c r="D11" s="481"/>
      <c r="E11" s="162"/>
      <c r="F11" s="159">
        <f>A11</f>
        <v>1</v>
      </c>
    </row>
    <row r="12" spans="1:6" x14ac:dyDescent="0.25">
      <c r="A12" s="159">
        <f>A11+1</f>
        <v>2</v>
      </c>
      <c r="B12" s="183" t="s">
        <v>505</v>
      </c>
      <c r="C12" s="483">
        <f>C78</f>
        <v>5307124.7261861525</v>
      </c>
      <c r="D12" s="25"/>
      <c r="E12" s="209" t="s">
        <v>506</v>
      </c>
      <c r="F12" s="159">
        <f>F11+1</f>
        <v>2</v>
      </c>
    </row>
    <row r="13" spans="1:6" x14ac:dyDescent="0.25">
      <c r="A13" s="159">
        <f t="shared" ref="A13:A48" si="0">A12+1</f>
        <v>3</v>
      </c>
      <c r="B13" s="183" t="s">
        <v>264</v>
      </c>
      <c r="C13" s="484">
        <f>C79</f>
        <v>3513.8827986728284</v>
      </c>
      <c r="D13" s="485"/>
      <c r="E13" s="209" t="s">
        <v>507</v>
      </c>
      <c r="F13" s="159">
        <f t="shared" ref="F13:F48" si="1">F12+1</f>
        <v>3</v>
      </c>
    </row>
    <row r="14" spans="1:6" x14ac:dyDescent="0.25">
      <c r="A14" s="159">
        <f t="shared" si="0"/>
        <v>4</v>
      </c>
      <c r="B14" s="183" t="s">
        <v>266</v>
      </c>
      <c r="C14" s="484">
        <f>C80</f>
        <v>29097.73014030722</v>
      </c>
      <c r="D14" s="485"/>
      <c r="E14" s="209" t="s">
        <v>508</v>
      </c>
      <c r="F14" s="159">
        <f t="shared" si="1"/>
        <v>4</v>
      </c>
    </row>
    <row r="15" spans="1:6" x14ac:dyDescent="0.25">
      <c r="A15" s="159">
        <f t="shared" si="0"/>
        <v>5</v>
      </c>
      <c r="B15" s="183" t="s">
        <v>509</v>
      </c>
      <c r="C15" s="486">
        <f>C81</f>
        <v>61211.878237450255</v>
      </c>
      <c r="D15" s="485"/>
      <c r="E15" s="209" t="s">
        <v>510</v>
      </c>
      <c r="F15" s="159">
        <f t="shared" si="1"/>
        <v>5</v>
      </c>
    </row>
    <row r="16" spans="1:6" x14ac:dyDescent="0.25">
      <c r="A16" s="159">
        <f t="shared" si="0"/>
        <v>6</v>
      </c>
      <c r="B16" s="183" t="s">
        <v>511</v>
      </c>
      <c r="C16" s="487">
        <f>SUM(C12:C15)</f>
        <v>5400948.2173625827</v>
      </c>
      <c r="D16" s="25"/>
      <c r="E16" s="209" t="s">
        <v>512</v>
      </c>
      <c r="F16" s="159">
        <f t="shared" si="1"/>
        <v>6</v>
      </c>
    </row>
    <row r="17" spans="1:6" x14ac:dyDescent="0.25">
      <c r="A17" s="159">
        <f t="shared" si="0"/>
        <v>7</v>
      </c>
      <c r="B17" s="267"/>
      <c r="C17" s="489"/>
      <c r="D17" s="490"/>
      <c r="E17" s="162"/>
      <c r="F17" s="159">
        <f t="shared" si="1"/>
        <v>7</v>
      </c>
    </row>
    <row r="18" spans="1:6" x14ac:dyDescent="0.25">
      <c r="A18" s="159">
        <f t="shared" si="0"/>
        <v>8</v>
      </c>
      <c r="B18" s="316" t="s">
        <v>513</v>
      </c>
      <c r="C18" s="489"/>
      <c r="D18" s="490"/>
      <c r="E18" s="162"/>
      <c r="F18" s="159">
        <f t="shared" si="1"/>
        <v>8</v>
      </c>
    </row>
    <row r="19" spans="1:6" x14ac:dyDescent="0.25">
      <c r="A19" s="159">
        <f t="shared" si="0"/>
        <v>9</v>
      </c>
      <c r="B19" s="183" t="s">
        <v>514</v>
      </c>
      <c r="C19" s="491">
        <v>0</v>
      </c>
      <c r="D19" s="478"/>
      <c r="E19" s="209" t="s">
        <v>515</v>
      </c>
      <c r="F19" s="159">
        <f t="shared" si="1"/>
        <v>9</v>
      </c>
    </row>
    <row r="20" spans="1:6" x14ac:dyDescent="0.25">
      <c r="A20" s="159">
        <f t="shared" si="0"/>
        <v>10</v>
      </c>
      <c r="B20" s="183" t="s">
        <v>516</v>
      </c>
      <c r="C20" s="492">
        <v>0</v>
      </c>
      <c r="D20" s="478"/>
      <c r="E20" s="209" t="s">
        <v>517</v>
      </c>
      <c r="F20" s="159">
        <f t="shared" si="1"/>
        <v>10</v>
      </c>
    </row>
    <row r="21" spans="1:6" x14ac:dyDescent="0.25">
      <c r="A21" s="159">
        <f t="shared" si="0"/>
        <v>11</v>
      </c>
      <c r="B21" s="183" t="s">
        <v>518</v>
      </c>
      <c r="C21" s="493">
        <f>C19+C20</f>
        <v>0</v>
      </c>
      <c r="D21" s="494"/>
      <c r="E21" s="209" t="s">
        <v>519</v>
      </c>
      <c r="F21" s="159">
        <f t="shared" si="1"/>
        <v>11</v>
      </c>
    </row>
    <row r="22" spans="1:6" x14ac:dyDescent="0.25">
      <c r="A22" s="159">
        <f t="shared" si="0"/>
        <v>12</v>
      </c>
      <c r="B22" s="183"/>
      <c r="C22" s="495"/>
      <c r="D22" s="476"/>
      <c r="E22" s="162"/>
      <c r="F22" s="159">
        <f t="shared" si="1"/>
        <v>12</v>
      </c>
    </row>
    <row r="23" spans="1:6" x14ac:dyDescent="0.25">
      <c r="A23" s="159">
        <f t="shared" si="0"/>
        <v>13</v>
      </c>
      <c r="B23" s="316" t="s">
        <v>520</v>
      </c>
      <c r="C23" s="489"/>
      <c r="D23" s="490"/>
      <c r="E23" s="162"/>
      <c r="F23" s="159">
        <f t="shared" si="1"/>
        <v>13</v>
      </c>
    </row>
    <row r="24" spans="1:6" x14ac:dyDescent="0.25">
      <c r="A24" s="159">
        <f t="shared" si="0"/>
        <v>14</v>
      </c>
      <c r="B24" s="267" t="s">
        <v>521</v>
      </c>
      <c r="C24" s="496">
        <v>-944883.04939016129</v>
      </c>
      <c r="D24" s="25"/>
      <c r="E24" s="209" t="s">
        <v>522</v>
      </c>
      <c r="F24" s="159">
        <f t="shared" si="1"/>
        <v>14</v>
      </c>
    </row>
    <row r="25" spans="1:6" x14ac:dyDescent="0.25">
      <c r="A25" s="159">
        <f t="shared" si="0"/>
        <v>15</v>
      </c>
      <c r="B25" s="267" t="s">
        <v>523</v>
      </c>
      <c r="C25" s="497">
        <v>0</v>
      </c>
      <c r="D25" s="478"/>
      <c r="E25" s="209" t="s">
        <v>524</v>
      </c>
      <c r="F25" s="159">
        <f t="shared" si="1"/>
        <v>15</v>
      </c>
    </row>
    <row r="26" spans="1:6" x14ac:dyDescent="0.25">
      <c r="A26" s="159">
        <f t="shared" si="0"/>
        <v>16</v>
      </c>
      <c r="B26" s="183" t="s">
        <v>525</v>
      </c>
      <c r="C26" s="487">
        <f>SUM(C24:C25)</f>
        <v>-944883.04939016129</v>
      </c>
      <c r="D26" s="25"/>
      <c r="E26" s="209" t="s">
        <v>526</v>
      </c>
      <c r="F26" s="159">
        <f t="shared" si="1"/>
        <v>16</v>
      </c>
    </row>
    <row r="27" spans="1:6" x14ac:dyDescent="0.25">
      <c r="A27" s="159">
        <f t="shared" si="0"/>
        <v>17</v>
      </c>
      <c r="B27" s="163"/>
      <c r="C27" s="498"/>
      <c r="D27" s="499"/>
      <c r="E27" s="162"/>
      <c r="F27" s="159">
        <f t="shared" si="1"/>
        <v>17</v>
      </c>
    </row>
    <row r="28" spans="1:6" x14ac:dyDescent="0.25">
      <c r="A28" s="159">
        <f t="shared" si="0"/>
        <v>18</v>
      </c>
      <c r="B28" s="316" t="s">
        <v>527</v>
      </c>
      <c r="C28" s="498"/>
      <c r="D28" s="499"/>
      <c r="E28" s="162"/>
      <c r="F28" s="159">
        <f t="shared" si="1"/>
        <v>18</v>
      </c>
    </row>
    <row r="29" spans="1:6" x14ac:dyDescent="0.25">
      <c r="A29" s="159">
        <f t="shared" si="0"/>
        <v>19</v>
      </c>
      <c r="B29" s="183" t="s">
        <v>528</v>
      </c>
      <c r="C29" s="483">
        <v>51269.428222656083</v>
      </c>
      <c r="D29" s="478"/>
      <c r="E29" s="209" t="s">
        <v>109</v>
      </c>
      <c r="F29" s="159">
        <f t="shared" si="1"/>
        <v>19</v>
      </c>
    </row>
    <row r="30" spans="1:6" x14ac:dyDescent="0.25">
      <c r="A30" s="159">
        <f t="shared" si="0"/>
        <v>20</v>
      </c>
      <c r="B30" s="183" t="s">
        <v>529</v>
      </c>
      <c r="C30" s="484">
        <v>37308.787275766081</v>
      </c>
      <c r="D30" s="478"/>
      <c r="E30" s="209" t="s">
        <v>111</v>
      </c>
      <c r="F30" s="159">
        <f t="shared" si="1"/>
        <v>20</v>
      </c>
    </row>
    <row r="31" spans="1:6" x14ac:dyDescent="0.25">
      <c r="A31" s="159">
        <f t="shared" si="0"/>
        <v>21</v>
      </c>
      <c r="B31" s="183" t="s">
        <v>530</v>
      </c>
      <c r="C31" s="500">
        <f>'Pg9 Rev Stmt AL'!E29</f>
        <v>11658.078214047211</v>
      </c>
      <c r="D31" s="25" t="s">
        <v>31</v>
      </c>
      <c r="E31" s="209" t="s">
        <v>609</v>
      </c>
      <c r="F31" s="159">
        <f t="shared" si="1"/>
        <v>21</v>
      </c>
    </row>
    <row r="32" spans="1:6" x14ac:dyDescent="0.25">
      <c r="A32" s="159">
        <f t="shared" si="0"/>
        <v>22</v>
      </c>
      <c r="B32" s="183" t="s">
        <v>531</v>
      </c>
      <c r="C32" s="501">
        <f>SUM(C29:C31)</f>
        <v>100236.29371246937</v>
      </c>
      <c r="D32" s="25" t="s">
        <v>31</v>
      </c>
      <c r="E32" s="209" t="s">
        <v>532</v>
      </c>
      <c r="F32" s="159">
        <f t="shared" si="1"/>
        <v>22</v>
      </c>
    </row>
    <row r="33" spans="1:6" x14ac:dyDescent="0.25">
      <c r="A33" s="159">
        <f t="shared" si="0"/>
        <v>23</v>
      </c>
      <c r="B33" s="185"/>
      <c r="C33" s="502"/>
      <c r="D33" s="503"/>
      <c r="E33" s="162"/>
      <c r="F33" s="159">
        <f t="shared" si="1"/>
        <v>23</v>
      </c>
    </row>
    <row r="34" spans="1:6" x14ac:dyDescent="0.25">
      <c r="A34" s="159">
        <f t="shared" si="0"/>
        <v>24</v>
      </c>
      <c r="B34" s="183" t="s">
        <v>533</v>
      </c>
      <c r="C34" s="504">
        <v>0</v>
      </c>
      <c r="D34" s="478"/>
      <c r="E34" s="209" t="s">
        <v>534</v>
      </c>
      <c r="F34" s="159">
        <f t="shared" si="1"/>
        <v>24</v>
      </c>
    </row>
    <row r="35" spans="1:6" x14ac:dyDescent="0.25">
      <c r="A35" s="159">
        <f t="shared" si="0"/>
        <v>25</v>
      </c>
      <c r="B35" s="183"/>
      <c r="C35" s="502"/>
      <c r="D35" s="503"/>
      <c r="E35" s="162"/>
      <c r="F35" s="159">
        <f t="shared" si="1"/>
        <v>25</v>
      </c>
    </row>
    <row r="36" spans="1:6" ht="16.5" thickBot="1" x14ac:dyDescent="0.3">
      <c r="A36" s="159">
        <f t="shared" si="0"/>
        <v>26</v>
      </c>
      <c r="B36" s="183" t="s">
        <v>535</v>
      </c>
      <c r="C36" s="505">
        <f>C16+C21+C26+C32+C34</f>
        <v>4556301.461684891</v>
      </c>
      <c r="D36" s="25" t="s">
        <v>31</v>
      </c>
      <c r="E36" s="209" t="s">
        <v>536</v>
      </c>
      <c r="F36" s="159">
        <f t="shared" si="1"/>
        <v>26</v>
      </c>
    </row>
    <row r="37" spans="1:6" ht="16.5" thickTop="1" x14ac:dyDescent="0.25">
      <c r="A37" s="159">
        <f t="shared" si="0"/>
        <v>27</v>
      </c>
      <c r="B37" s="185"/>
      <c r="C37" s="506"/>
      <c r="D37" s="488"/>
      <c r="E37" s="162"/>
      <c r="F37" s="159">
        <f t="shared" si="1"/>
        <v>27</v>
      </c>
    </row>
    <row r="38" spans="1:6" x14ac:dyDescent="0.25">
      <c r="A38" s="159">
        <f t="shared" si="0"/>
        <v>28</v>
      </c>
      <c r="B38" s="316" t="s">
        <v>537</v>
      </c>
      <c r="C38" s="506"/>
      <c r="D38" s="488"/>
      <c r="E38" s="162"/>
      <c r="F38" s="159">
        <f t="shared" si="1"/>
        <v>28</v>
      </c>
    </row>
    <row r="39" spans="1:6" x14ac:dyDescent="0.25">
      <c r="A39" s="159">
        <f t="shared" si="0"/>
        <v>29</v>
      </c>
      <c r="B39" s="183" t="s">
        <v>538</v>
      </c>
      <c r="C39" s="507">
        <v>0</v>
      </c>
      <c r="D39" s="508"/>
      <c r="E39" s="209" t="s">
        <v>265</v>
      </c>
      <c r="F39" s="159">
        <f t="shared" si="1"/>
        <v>29</v>
      </c>
    </row>
    <row r="40" spans="1:6" x14ac:dyDescent="0.25">
      <c r="A40" s="159">
        <f t="shared" si="0"/>
        <v>30</v>
      </c>
      <c r="B40" s="183" t="s">
        <v>539</v>
      </c>
      <c r="C40" s="509">
        <v>0</v>
      </c>
      <c r="D40" s="478"/>
      <c r="E40" s="209" t="s">
        <v>265</v>
      </c>
      <c r="F40" s="159">
        <f t="shared" si="1"/>
        <v>30</v>
      </c>
    </row>
    <row r="41" spans="1:6" x14ac:dyDescent="0.25">
      <c r="A41" s="159">
        <f t="shared" si="0"/>
        <v>31</v>
      </c>
      <c r="B41" s="267" t="s">
        <v>540</v>
      </c>
      <c r="C41" s="501">
        <f>C39+C40</f>
        <v>0</v>
      </c>
      <c r="D41" s="488"/>
      <c r="E41" s="209" t="s">
        <v>541</v>
      </c>
      <c r="F41" s="159">
        <f t="shared" si="1"/>
        <v>31</v>
      </c>
    </row>
    <row r="42" spans="1:6" x14ac:dyDescent="0.25">
      <c r="A42" s="159">
        <f t="shared" si="0"/>
        <v>32</v>
      </c>
      <c r="B42" s="185"/>
      <c r="C42" s="506"/>
      <c r="D42" s="488"/>
      <c r="E42" s="162"/>
      <c r="F42" s="159">
        <f t="shared" si="1"/>
        <v>32</v>
      </c>
    </row>
    <row r="43" spans="1:6" x14ac:dyDescent="0.25">
      <c r="A43" s="159">
        <f t="shared" si="0"/>
        <v>33</v>
      </c>
      <c r="B43" s="316" t="s">
        <v>542</v>
      </c>
      <c r="C43" s="506"/>
      <c r="D43" s="488"/>
      <c r="E43" s="162"/>
      <c r="F43" s="159">
        <f t="shared" si="1"/>
        <v>33</v>
      </c>
    </row>
    <row r="44" spans="1:6" x14ac:dyDescent="0.25">
      <c r="A44" s="159">
        <f t="shared" si="0"/>
        <v>34</v>
      </c>
      <c r="B44" s="183" t="s">
        <v>543</v>
      </c>
      <c r="C44" s="507">
        <v>0</v>
      </c>
      <c r="D44" s="478"/>
      <c r="E44" s="209" t="s">
        <v>265</v>
      </c>
      <c r="F44" s="159">
        <f t="shared" si="1"/>
        <v>34</v>
      </c>
    </row>
    <row r="45" spans="1:6" x14ac:dyDescent="0.25">
      <c r="A45" s="159">
        <f t="shared" si="0"/>
        <v>35</v>
      </c>
      <c r="B45" s="267" t="s">
        <v>544</v>
      </c>
      <c r="C45" s="510">
        <v>0</v>
      </c>
      <c r="D45" s="478"/>
      <c r="E45" s="209" t="s">
        <v>265</v>
      </c>
      <c r="F45" s="159">
        <f t="shared" si="1"/>
        <v>35</v>
      </c>
    </row>
    <row r="46" spans="1:6" x14ac:dyDescent="0.25">
      <c r="A46" s="159">
        <f t="shared" si="0"/>
        <v>36</v>
      </c>
      <c r="B46" s="267" t="s">
        <v>545</v>
      </c>
      <c r="C46" s="501">
        <f>C44+C45</f>
        <v>0</v>
      </c>
      <c r="D46" s="488"/>
      <c r="E46" s="209" t="s">
        <v>546</v>
      </c>
      <c r="F46" s="159">
        <f t="shared" si="1"/>
        <v>36</v>
      </c>
    </row>
    <row r="47" spans="1:6" x14ac:dyDescent="0.25">
      <c r="A47" s="159">
        <f t="shared" si="0"/>
        <v>37</v>
      </c>
      <c r="B47" s="185"/>
      <c r="C47" s="506"/>
      <c r="D47" s="488"/>
      <c r="E47" s="162"/>
      <c r="F47" s="159">
        <f t="shared" si="1"/>
        <v>37</v>
      </c>
    </row>
    <row r="48" spans="1:6" ht="16.5" thickBot="1" x14ac:dyDescent="0.3">
      <c r="A48" s="159">
        <f t="shared" si="0"/>
        <v>38</v>
      </c>
      <c r="B48" s="316" t="s">
        <v>547</v>
      </c>
      <c r="C48" s="511">
        <v>0</v>
      </c>
      <c r="D48" s="478"/>
      <c r="E48" s="209" t="s">
        <v>265</v>
      </c>
      <c r="F48" s="159">
        <f t="shared" si="1"/>
        <v>38</v>
      </c>
    </row>
    <row r="49" spans="1:8" ht="16.5" thickTop="1" x14ac:dyDescent="0.25">
      <c r="A49" s="159"/>
      <c r="B49" s="316"/>
      <c r="C49" s="665"/>
      <c r="D49" s="478"/>
      <c r="E49" s="209"/>
      <c r="F49" s="159"/>
    </row>
    <row r="50" spans="1:8" x14ac:dyDescent="0.25">
      <c r="A50" s="159"/>
      <c r="B50" s="185"/>
      <c r="C50" s="506"/>
      <c r="D50" s="488"/>
      <c r="E50" s="162"/>
      <c r="F50" s="159"/>
    </row>
    <row r="51" spans="1:8" x14ac:dyDescent="0.25">
      <c r="A51" s="25" t="s">
        <v>31</v>
      </c>
      <c r="B51" s="23" t="s">
        <v>630</v>
      </c>
      <c r="C51" s="163"/>
      <c r="D51" s="163"/>
      <c r="E51" s="163"/>
      <c r="F51" s="159"/>
    </row>
    <row r="52" spans="1:8" x14ac:dyDescent="0.25">
      <c r="A52" s="25"/>
      <c r="B52" s="23" t="s">
        <v>631</v>
      </c>
      <c r="C52" s="163"/>
      <c r="D52" s="163"/>
      <c r="E52" s="163"/>
      <c r="F52" s="159"/>
    </row>
    <row r="53" spans="1:8" x14ac:dyDescent="0.25">
      <c r="A53" s="25"/>
      <c r="B53" s="23"/>
      <c r="C53" s="163"/>
      <c r="D53" s="163"/>
      <c r="E53" s="163"/>
      <c r="F53" s="159"/>
    </row>
    <row r="54" spans="1:8" x14ac:dyDescent="0.25">
      <c r="A54" s="159"/>
      <c r="B54" s="801" t="str">
        <f>B2</f>
        <v>SAN DIEGO GAS &amp; ELECTRIC COMPANY</v>
      </c>
      <c r="C54" s="822"/>
      <c r="D54" s="822"/>
      <c r="E54" s="822"/>
      <c r="F54" s="159"/>
    </row>
    <row r="55" spans="1:8" x14ac:dyDescent="0.25">
      <c r="A55" s="159"/>
      <c r="B55" s="801" t="str">
        <f>B3</f>
        <v xml:space="preserve">Derivation of End Use Transmission Rate Base </v>
      </c>
      <c r="C55" s="822"/>
      <c r="D55" s="822"/>
      <c r="E55" s="822"/>
      <c r="F55" s="159"/>
    </row>
    <row r="56" spans="1:8" x14ac:dyDescent="0.25">
      <c r="A56" s="159"/>
      <c r="B56" s="819" t="str">
        <f>B4</f>
        <v>Base Period &amp; True-Up Period 12 - Months Ending December 31, 2020</v>
      </c>
      <c r="C56" s="820"/>
      <c r="D56" s="820"/>
      <c r="E56" s="820"/>
      <c r="F56" s="159"/>
    </row>
    <row r="57" spans="1:8" x14ac:dyDescent="0.25">
      <c r="A57" s="159"/>
      <c r="B57" s="821" t="s">
        <v>3</v>
      </c>
      <c r="C57" s="822"/>
      <c r="D57" s="822"/>
      <c r="E57" s="822"/>
      <c r="F57" s="159"/>
    </row>
    <row r="58" spans="1:8" x14ac:dyDescent="0.25">
      <c r="A58" s="159"/>
      <c r="B58" s="608"/>
      <c r="C58" s="163"/>
      <c r="D58" s="163"/>
      <c r="E58" s="163"/>
      <c r="F58" s="159"/>
    </row>
    <row r="59" spans="1:8" x14ac:dyDescent="0.25">
      <c r="A59" s="159" t="s">
        <v>4</v>
      </c>
      <c r="B59" s="608"/>
      <c r="C59" s="163"/>
      <c r="D59" s="163"/>
      <c r="E59" s="163"/>
      <c r="F59" s="159"/>
    </row>
    <row r="60" spans="1:8" x14ac:dyDescent="0.25">
      <c r="A60" s="159" t="s">
        <v>5</v>
      </c>
      <c r="B60" s="608"/>
      <c r="C60" s="163"/>
      <c r="D60" s="163"/>
      <c r="E60" s="163"/>
      <c r="F60" s="159"/>
    </row>
    <row r="61" spans="1:8" x14ac:dyDescent="0.25">
      <c r="A61" s="159"/>
      <c r="B61" s="316" t="s">
        <v>548</v>
      </c>
      <c r="C61" s="163"/>
      <c r="D61" s="163"/>
      <c r="E61" s="163"/>
      <c r="F61" s="159"/>
    </row>
    <row r="62" spans="1:8" x14ac:dyDescent="0.25">
      <c r="A62" s="159"/>
      <c r="B62" s="482"/>
      <c r="C62" s="478"/>
      <c r="D62" s="478"/>
      <c r="E62" s="162"/>
      <c r="F62" s="159"/>
    </row>
    <row r="63" spans="1:8" x14ac:dyDescent="0.25">
      <c r="A63" s="159">
        <v>1</v>
      </c>
      <c r="B63" s="316" t="s">
        <v>549</v>
      </c>
      <c r="C63" s="478"/>
      <c r="D63" s="478"/>
      <c r="E63" s="162"/>
      <c r="F63" s="159">
        <f t="shared" ref="F63:F87" si="2">A63</f>
        <v>1</v>
      </c>
    </row>
    <row r="64" spans="1:8" x14ac:dyDescent="0.25">
      <c r="A64" s="159">
        <v>2</v>
      </c>
      <c r="B64" s="183" t="s">
        <v>505</v>
      </c>
      <c r="C64" s="512">
        <v>6717604.4084030753</v>
      </c>
      <c r="D64" s="478"/>
      <c r="E64" s="209" t="s">
        <v>550</v>
      </c>
      <c r="F64" s="159">
        <f t="shared" si="2"/>
        <v>2</v>
      </c>
      <c r="G64" s="513"/>
      <c r="H64" s="514"/>
    </row>
    <row r="65" spans="1:8" x14ac:dyDescent="0.25">
      <c r="A65" s="159">
        <v>3</v>
      </c>
      <c r="B65" s="183" t="s">
        <v>551</v>
      </c>
      <c r="C65" s="515">
        <v>19671.544520386884</v>
      </c>
      <c r="D65" s="478"/>
      <c r="E65" s="209" t="s">
        <v>552</v>
      </c>
      <c r="F65" s="159">
        <f t="shared" si="2"/>
        <v>3</v>
      </c>
      <c r="G65" s="513"/>
      <c r="H65" s="514"/>
    </row>
    <row r="66" spans="1:8" x14ac:dyDescent="0.25">
      <c r="A66" s="159">
        <v>4</v>
      </c>
      <c r="B66" s="183" t="s">
        <v>266</v>
      </c>
      <c r="C66" s="515">
        <v>49193.51899590245</v>
      </c>
      <c r="D66" s="478"/>
      <c r="E66" s="209" t="s">
        <v>267</v>
      </c>
      <c r="F66" s="159">
        <f t="shared" si="2"/>
        <v>4</v>
      </c>
      <c r="G66" s="513"/>
      <c r="H66" s="516"/>
    </row>
    <row r="67" spans="1:8" x14ac:dyDescent="0.25">
      <c r="A67" s="159">
        <v>5</v>
      </c>
      <c r="B67" s="183" t="s">
        <v>509</v>
      </c>
      <c r="C67" s="517">
        <v>121720.77530805826</v>
      </c>
      <c r="D67" s="478"/>
      <c r="E67" s="209" t="s">
        <v>269</v>
      </c>
      <c r="F67" s="159">
        <f t="shared" si="2"/>
        <v>5</v>
      </c>
      <c r="G67" s="514"/>
      <c r="H67" s="514"/>
    </row>
    <row r="68" spans="1:8" x14ac:dyDescent="0.25">
      <c r="A68" s="159">
        <v>6</v>
      </c>
      <c r="B68" s="183" t="s">
        <v>553</v>
      </c>
      <c r="C68" s="487">
        <f>SUM(C64:C67)</f>
        <v>6908190.2472274229</v>
      </c>
      <c r="D68" s="488"/>
      <c r="E68" s="209" t="s">
        <v>512</v>
      </c>
      <c r="F68" s="159">
        <f t="shared" si="2"/>
        <v>6</v>
      </c>
      <c r="G68" s="513"/>
      <c r="H68" s="514"/>
    </row>
    <row r="69" spans="1:8" x14ac:dyDescent="0.25">
      <c r="A69" s="159">
        <v>7</v>
      </c>
      <c r="B69" s="267"/>
      <c r="C69" s="518"/>
      <c r="D69" s="478"/>
      <c r="E69" s="162"/>
      <c r="F69" s="159">
        <f t="shared" si="2"/>
        <v>7</v>
      </c>
      <c r="G69" s="514"/>
      <c r="H69" s="514"/>
    </row>
    <row r="70" spans="1:8" x14ac:dyDescent="0.25">
      <c r="A70" s="159">
        <v>8</v>
      </c>
      <c r="B70" s="315" t="s">
        <v>554</v>
      </c>
      <c r="C70" s="518"/>
      <c r="D70" s="478"/>
      <c r="E70" s="162"/>
      <c r="F70" s="159">
        <f t="shared" si="2"/>
        <v>8</v>
      </c>
      <c r="G70" s="514"/>
      <c r="H70" s="514"/>
    </row>
    <row r="71" spans="1:8" x14ac:dyDescent="0.25">
      <c r="A71" s="159">
        <v>9</v>
      </c>
      <c r="B71" s="267" t="s">
        <v>555</v>
      </c>
      <c r="C71" s="512">
        <v>1410479.6822169228</v>
      </c>
      <c r="D71" s="25"/>
      <c r="E71" s="209" t="s">
        <v>556</v>
      </c>
      <c r="F71" s="159">
        <f t="shared" si="2"/>
        <v>9</v>
      </c>
      <c r="G71" s="514"/>
      <c r="H71" s="514"/>
    </row>
    <row r="72" spans="1:8" x14ac:dyDescent="0.25">
      <c r="A72" s="159">
        <v>10</v>
      </c>
      <c r="B72" s="267" t="s">
        <v>557</v>
      </c>
      <c r="C72" s="515">
        <v>16157.661721714056</v>
      </c>
      <c r="D72" s="478"/>
      <c r="E72" s="209" t="s">
        <v>558</v>
      </c>
      <c r="F72" s="159">
        <f t="shared" si="2"/>
        <v>10</v>
      </c>
      <c r="G72" s="514"/>
      <c r="H72" s="514"/>
    </row>
    <row r="73" spans="1:8" x14ac:dyDescent="0.25">
      <c r="A73" s="159">
        <v>11</v>
      </c>
      <c r="B73" s="267" t="s">
        <v>559</v>
      </c>
      <c r="C73" s="515">
        <v>20095.78885559523</v>
      </c>
      <c r="D73" s="478"/>
      <c r="E73" s="209" t="s">
        <v>560</v>
      </c>
      <c r="F73" s="159">
        <f t="shared" si="2"/>
        <v>11</v>
      </c>
      <c r="G73" s="514"/>
      <c r="H73" s="514"/>
    </row>
    <row r="74" spans="1:8" x14ac:dyDescent="0.25">
      <c r="A74" s="159">
        <v>12</v>
      </c>
      <c r="B74" s="267" t="s">
        <v>561</v>
      </c>
      <c r="C74" s="517">
        <v>60508.897070608007</v>
      </c>
      <c r="D74" s="478"/>
      <c r="E74" s="209" t="s">
        <v>562</v>
      </c>
      <c r="F74" s="159">
        <f t="shared" si="2"/>
        <v>12</v>
      </c>
      <c r="G74" s="514"/>
      <c r="H74" s="514"/>
    </row>
    <row r="75" spans="1:8" x14ac:dyDescent="0.25">
      <c r="A75" s="159">
        <v>13</v>
      </c>
      <c r="B75" s="519" t="s">
        <v>563</v>
      </c>
      <c r="C75" s="487">
        <f>SUM(C71:C74)</f>
        <v>1507242.0298648402</v>
      </c>
      <c r="D75" s="25"/>
      <c r="E75" s="209" t="s">
        <v>564</v>
      </c>
      <c r="F75" s="159">
        <f t="shared" si="2"/>
        <v>13</v>
      </c>
      <c r="G75" s="514"/>
      <c r="H75" s="514"/>
    </row>
    <row r="76" spans="1:8" x14ac:dyDescent="0.25">
      <c r="A76" s="159">
        <v>14</v>
      </c>
      <c r="B76" s="519"/>
      <c r="C76" s="498"/>
      <c r="D76" s="499"/>
      <c r="E76" s="162"/>
      <c r="F76" s="159">
        <f t="shared" si="2"/>
        <v>14</v>
      </c>
      <c r="G76" s="514"/>
      <c r="H76" s="514"/>
    </row>
    <row r="77" spans="1:8" x14ac:dyDescent="0.25">
      <c r="A77" s="159">
        <v>15</v>
      </c>
      <c r="B77" s="316" t="s">
        <v>504</v>
      </c>
      <c r="C77" s="498"/>
      <c r="D77" s="499"/>
      <c r="E77" s="162"/>
      <c r="F77" s="159">
        <f t="shared" si="2"/>
        <v>15</v>
      </c>
      <c r="G77" s="514"/>
      <c r="H77" s="514"/>
    </row>
    <row r="78" spans="1:8" x14ac:dyDescent="0.25">
      <c r="A78" s="159">
        <v>16</v>
      </c>
      <c r="B78" s="183" t="s">
        <v>505</v>
      </c>
      <c r="C78" s="643">
        <f>C64-C71</f>
        <v>5307124.7261861525</v>
      </c>
      <c r="D78" s="25"/>
      <c r="E78" s="209" t="s">
        <v>565</v>
      </c>
      <c r="F78" s="159">
        <f t="shared" si="2"/>
        <v>16</v>
      </c>
      <c r="G78" s="514"/>
      <c r="H78" s="514"/>
    </row>
    <row r="79" spans="1:8" x14ac:dyDescent="0.25">
      <c r="A79" s="159">
        <v>17</v>
      </c>
      <c r="B79" s="183" t="s">
        <v>264</v>
      </c>
      <c r="C79" s="520">
        <f>C65-C72</f>
        <v>3513.8827986728284</v>
      </c>
      <c r="D79" s="521"/>
      <c r="E79" s="209" t="s">
        <v>566</v>
      </c>
      <c r="F79" s="159">
        <f t="shared" si="2"/>
        <v>17</v>
      </c>
      <c r="G79" s="514"/>
      <c r="H79" s="514"/>
    </row>
    <row r="80" spans="1:8" x14ac:dyDescent="0.25">
      <c r="A80" s="159">
        <v>18</v>
      </c>
      <c r="B80" s="183" t="s">
        <v>266</v>
      </c>
      <c r="C80" s="520">
        <f>C66-C73</f>
        <v>29097.73014030722</v>
      </c>
      <c r="D80" s="521"/>
      <c r="E80" s="209" t="s">
        <v>567</v>
      </c>
      <c r="F80" s="159">
        <f t="shared" si="2"/>
        <v>18</v>
      </c>
    </row>
    <row r="81" spans="1:6" x14ac:dyDescent="0.25">
      <c r="A81" s="159">
        <v>19</v>
      </c>
      <c r="B81" s="183" t="s">
        <v>509</v>
      </c>
      <c r="C81" s="522">
        <f>C67-C74</f>
        <v>61211.878237450255</v>
      </c>
      <c r="D81" s="523"/>
      <c r="E81" s="209" t="s">
        <v>568</v>
      </c>
      <c r="F81" s="159">
        <f t="shared" si="2"/>
        <v>19</v>
      </c>
    </row>
    <row r="82" spans="1:6" ht="16.5" thickBot="1" x14ac:dyDescent="0.3">
      <c r="A82" s="159">
        <v>20</v>
      </c>
      <c r="B82" s="267" t="s">
        <v>511</v>
      </c>
      <c r="C82" s="644">
        <f>SUM(C78:C81)</f>
        <v>5400948.2173625827</v>
      </c>
      <c r="D82" s="25"/>
      <c r="E82" s="209" t="s">
        <v>569</v>
      </c>
      <c r="F82" s="159">
        <f t="shared" si="2"/>
        <v>20</v>
      </c>
    </row>
    <row r="83" spans="1:6" ht="16.5" thickTop="1" x14ac:dyDescent="0.25">
      <c r="A83" s="159">
        <v>21</v>
      </c>
      <c r="B83" s="185"/>
      <c r="C83" s="488"/>
      <c r="D83" s="488"/>
      <c r="E83" s="162"/>
      <c r="F83" s="159">
        <f t="shared" si="2"/>
        <v>21</v>
      </c>
    </row>
    <row r="84" spans="1:6" x14ac:dyDescent="0.25">
      <c r="A84" s="159">
        <v>22</v>
      </c>
      <c r="B84" s="316" t="s">
        <v>570</v>
      </c>
      <c r="C84" s="488"/>
      <c r="D84" s="488"/>
      <c r="E84" s="162"/>
      <c r="F84" s="159">
        <f t="shared" si="2"/>
        <v>22</v>
      </c>
    </row>
    <row r="85" spans="1:6" x14ac:dyDescent="0.25">
      <c r="A85" s="159">
        <v>23</v>
      </c>
      <c r="B85" s="183" t="s">
        <v>571</v>
      </c>
      <c r="C85" s="507">
        <v>0</v>
      </c>
      <c r="D85" s="488"/>
      <c r="E85" s="209" t="s">
        <v>265</v>
      </c>
      <c r="F85" s="159">
        <f t="shared" si="2"/>
        <v>23</v>
      </c>
    </row>
    <row r="86" spans="1:6" x14ac:dyDescent="0.25">
      <c r="A86" s="159">
        <v>24</v>
      </c>
      <c r="B86" s="267" t="s">
        <v>572</v>
      </c>
      <c r="C86" s="510">
        <v>0</v>
      </c>
      <c r="D86" s="488"/>
      <c r="E86" s="209" t="s">
        <v>265</v>
      </c>
      <c r="F86" s="159">
        <f t="shared" si="2"/>
        <v>24</v>
      </c>
    </row>
    <row r="87" spans="1:6" ht="16.5" thickBot="1" x14ac:dyDescent="0.3">
      <c r="A87" s="159">
        <v>25</v>
      </c>
      <c r="B87" s="183" t="s">
        <v>573</v>
      </c>
      <c r="C87" s="524">
        <f>C85-C86</f>
        <v>0</v>
      </c>
      <c r="D87" s="488"/>
      <c r="E87" s="209" t="s">
        <v>574</v>
      </c>
      <c r="F87" s="159">
        <f t="shared" si="2"/>
        <v>25</v>
      </c>
    </row>
    <row r="88" spans="1:6" ht="16.5" thickTop="1" x14ac:dyDescent="0.25">
      <c r="A88" s="159"/>
    </row>
    <row r="89" spans="1:6" x14ac:dyDescent="0.25">
      <c r="A89" s="25"/>
      <c r="B89" s="23"/>
    </row>
  </sheetData>
  <mergeCells count="8">
    <mergeCell ref="B56:E56"/>
    <mergeCell ref="B57:E57"/>
    <mergeCell ref="B2:E2"/>
    <mergeCell ref="B3:E3"/>
    <mergeCell ref="B4:E4"/>
    <mergeCell ref="B5:E5"/>
    <mergeCell ref="B54:E54"/>
    <mergeCell ref="B55:E5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12.&amp;P&amp;R&amp;A</oddFooter>
  </headerFooter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F827-FFAB-4B56-B3FF-2570B5EC3295}">
  <dimension ref="A1:H90"/>
  <sheetViews>
    <sheetView zoomScale="80" zoomScaleNormal="80" workbookViewId="0"/>
  </sheetViews>
  <sheetFormatPr defaultColWidth="8.85546875" defaultRowHeight="15.75" x14ac:dyDescent="0.25"/>
  <cols>
    <col min="1" max="1" width="5.140625" style="525" customWidth="1"/>
    <col min="2" max="2" width="87.42578125" style="477" customWidth="1"/>
    <col min="3" max="3" width="17.85546875" style="477" customWidth="1"/>
    <col min="4" max="4" width="1.5703125" style="477" customWidth="1"/>
    <col min="5" max="5" width="49.85546875" style="477" customWidth="1"/>
    <col min="6" max="6" width="5.140625" style="525" customWidth="1"/>
    <col min="7" max="16384" width="8.85546875" style="477"/>
  </cols>
  <sheetData>
    <row r="1" spans="1:6" x14ac:dyDescent="0.25">
      <c r="A1" s="691" t="s">
        <v>640</v>
      </c>
    </row>
    <row r="2" spans="1:6" x14ac:dyDescent="0.25">
      <c r="A2" s="159"/>
      <c r="B2" s="163"/>
      <c r="C2" s="476"/>
      <c r="D2" s="476"/>
      <c r="E2" s="370"/>
      <c r="F2" s="159"/>
    </row>
    <row r="3" spans="1:6" x14ac:dyDescent="0.25">
      <c r="A3" s="159"/>
      <c r="B3" s="801" t="s">
        <v>19</v>
      </c>
      <c r="C3" s="822"/>
      <c r="D3" s="822"/>
      <c r="E3" s="822"/>
      <c r="F3" s="159"/>
    </row>
    <row r="4" spans="1:6" x14ac:dyDescent="0.25">
      <c r="A4" s="159" t="s">
        <v>228</v>
      </c>
      <c r="B4" s="801" t="s">
        <v>502</v>
      </c>
      <c r="C4" s="822"/>
      <c r="D4" s="822"/>
      <c r="E4" s="822"/>
      <c r="F4" s="159" t="s">
        <v>228</v>
      </c>
    </row>
    <row r="5" spans="1:6" x14ac:dyDescent="0.25">
      <c r="A5" s="159"/>
      <c r="B5" s="819" t="s">
        <v>71</v>
      </c>
      <c r="C5" s="820"/>
      <c r="D5" s="820"/>
      <c r="E5" s="820"/>
      <c r="F5" s="159"/>
    </row>
    <row r="6" spans="1:6" x14ac:dyDescent="0.25">
      <c r="A6" s="159"/>
      <c r="B6" s="821" t="s">
        <v>3</v>
      </c>
      <c r="C6" s="822"/>
      <c r="D6" s="822"/>
      <c r="E6" s="822"/>
      <c r="F6" s="159"/>
    </row>
    <row r="7" spans="1:6" x14ac:dyDescent="0.25">
      <c r="A7" s="159"/>
      <c r="B7" s="608"/>
      <c r="C7" s="163"/>
      <c r="D7" s="163"/>
      <c r="E7" s="163"/>
      <c r="F7" s="159"/>
    </row>
    <row r="8" spans="1:6" x14ac:dyDescent="0.25">
      <c r="A8" s="159" t="s">
        <v>4</v>
      </c>
      <c r="B8" s="163"/>
      <c r="C8" s="478"/>
      <c r="D8" s="478"/>
      <c r="E8" s="162"/>
      <c r="F8" s="159" t="s">
        <v>4</v>
      </c>
    </row>
    <row r="9" spans="1:6" x14ac:dyDescent="0.25">
      <c r="A9" s="159" t="s">
        <v>5</v>
      </c>
      <c r="B9" s="163" t="s">
        <v>228</v>
      </c>
      <c r="C9" s="728" t="s">
        <v>7</v>
      </c>
      <c r="D9" s="478"/>
      <c r="E9" s="729" t="s">
        <v>8</v>
      </c>
      <c r="F9" s="159" t="s">
        <v>5</v>
      </c>
    </row>
    <row r="10" spans="1:6" x14ac:dyDescent="0.25">
      <c r="A10" s="159"/>
      <c r="B10" s="316" t="s">
        <v>503</v>
      </c>
      <c r="C10" s="481"/>
      <c r="D10" s="478"/>
      <c r="E10" s="162"/>
      <c r="F10" s="159"/>
    </row>
    <row r="11" spans="1:6" x14ac:dyDescent="0.25">
      <c r="A11" s="159"/>
      <c r="B11" s="482"/>
      <c r="C11" s="481"/>
      <c r="D11" s="478"/>
      <c r="E11" s="162"/>
      <c r="F11" s="159"/>
    </row>
    <row r="12" spans="1:6" x14ac:dyDescent="0.25">
      <c r="A12" s="159">
        <v>1</v>
      </c>
      <c r="B12" s="316" t="s">
        <v>504</v>
      </c>
      <c r="C12" s="481"/>
      <c r="D12" s="481"/>
      <c r="E12" s="162"/>
      <c r="F12" s="159">
        <f>A12</f>
        <v>1</v>
      </c>
    </row>
    <row r="13" spans="1:6" x14ac:dyDescent="0.25">
      <c r="A13" s="159">
        <f>A12+1</f>
        <v>2</v>
      </c>
      <c r="B13" s="183" t="s">
        <v>505</v>
      </c>
      <c r="C13" s="483">
        <f>C79</f>
        <v>5307124.7261861525</v>
      </c>
      <c r="D13" s="25"/>
      <c r="E13" s="209" t="s">
        <v>506</v>
      </c>
      <c r="F13" s="159">
        <f>F12+1</f>
        <v>2</v>
      </c>
    </row>
    <row r="14" spans="1:6" x14ac:dyDescent="0.25">
      <c r="A14" s="159">
        <f t="shared" ref="A14:A49" si="0">A13+1</f>
        <v>3</v>
      </c>
      <c r="B14" s="183" t="s">
        <v>264</v>
      </c>
      <c r="C14" s="484">
        <f>C80</f>
        <v>3513.8827986728284</v>
      </c>
      <c r="D14" s="485"/>
      <c r="E14" s="209" t="s">
        <v>507</v>
      </c>
      <c r="F14" s="159">
        <f t="shared" ref="F14:F49" si="1">F13+1</f>
        <v>3</v>
      </c>
    </row>
    <row r="15" spans="1:6" x14ac:dyDescent="0.25">
      <c r="A15" s="159">
        <f t="shared" si="0"/>
        <v>4</v>
      </c>
      <c r="B15" s="183" t="s">
        <v>266</v>
      </c>
      <c r="C15" s="484">
        <f>C81</f>
        <v>29097.73014030722</v>
      </c>
      <c r="D15" s="485"/>
      <c r="E15" s="209" t="s">
        <v>508</v>
      </c>
      <c r="F15" s="159">
        <f t="shared" si="1"/>
        <v>4</v>
      </c>
    </row>
    <row r="16" spans="1:6" x14ac:dyDescent="0.25">
      <c r="A16" s="159">
        <f t="shared" si="0"/>
        <v>5</v>
      </c>
      <c r="B16" s="183" t="s">
        <v>509</v>
      </c>
      <c r="C16" s="730">
        <f>C82</f>
        <v>61211.878237450255</v>
      </c>
      <c r="D16" s="485"/>
      <c r="E16" s="209" t="s">
        <v>510</v>
      </c>
      <c r="F16" s="159">
        <f t="shared" si="1"/>
        <v>5</v>
      </c>
    </row>
    <row r="17" spans="1:6" x14ac:dyDescent="0.25">
      <c r="A17" s="159">
        <f t="shared" si="0"/>
        <v>6</v>
      </c>
      <c r="B17" s="183" t="s">
        <v>511</v>
      </c>
      <c r="C17" s="487">
        <f>SUM(C13:C16)</f>
        <v>5400948.2173625827</v>
      </c>
      <c r="D17" s="25"/>
      <c r="E17" s="209" t="s">
        <v>512</v>
      </c>
      <c r="F17" s="159">
        <f t="shared" si="1"/>
        <v>6</v>
      </c>
    </row>
    <row r="18" spans="1:6" x14ac:dyDescent="0.25">
      <c r="A18" s="159">
        <f t="shared" si="0"/>
        <v>7</v>
      </c>
      <c r="B18" s="267"/>
      <c r="C18" s="489"/>
      <c r="D18" s="490"/>
      <c r="E18" s="162"/>
      <c r="F18" s="159">
        <f t="shared" si="1"/>
        <v>7</v>
      </c>
    </row>
    <row r="19" spans="1:6" x14ac:dyDescent="0.25">
      <c r="A19" s="159">
        <f t="shared" si="0"/>
        <v>8</v>
      </c>
      <c r="B19" s="316" t="s">
        <v>513</v>
      </c>
      <c r="C19" s="489"/>
      <c r="D19" s="490"/>
      <c r="E19" s="162"/>
      <c r="F19" s="159">
        <f t="shared" si="1"/>
        <v>8</v>
      </c>
    </row>
    <row r="20" spans="1:6" x14ac:dyDescent="0.25">
      <c r="A20" s="159">
        <f t="shared" si="0"/>
        <v>9</v>
      </c>
      <c r="B20" s="183" t="s">
        <v>514</v>
      </c>
      <c r="C20" s="491">
        <v>0</v>
      </c>
      <c r="D20" s="478"/>
      <c r="E20" s="209" t="s">
        <v>515</v>
      </c>
      <c r="F20" s="159">
        <f t="shared" si="1"/>
        <v>9</v>
      </c>
    </row>
    <row r="21" spans="1:6" x14ac:dyDescent="0.25">
      <c r="A21" s="159">
        <f t="shared" si="0"/>
        <v>10</v>
      </c>
      <c r="B21" s="183" t="s">
        <v>516</v>
      </c>
      <c r="C21" s="492">
        <v>0</v>
      </c>
      <c r="D21" s="478"/>
      <c r="E21" s="209" t="s">
        <v>517</v>
      </c>
      <c r="F21" s="159">
        <f t="shared" si="1"/>
        <v>10</v>
      </c>
    </row>
    <row r="22" spans="1:6" x14ac:dyDescent="0.25">
      <c r="A22" s="159">
        <f t="shared" si="0"/>
        <v>11</v>
      </c>
      <c r="B22" s="183" t="s">
        <v>518</v>
      </c>
      <c r="C22" s="493">
        <f>C20+C21</f>
        <v>0</v>
      </c>
      <c r="D22" s="494"/>
      <c r="E22" s="209" t="s">
        <v>519</v>
      </c>
      <c r="F22" s="159">
        <f t="shared" si="1"/>
        <v>11</v>
      </c>
    </row>
    <row r="23" spans="1:6" x14ac:dyDescent="0.25">
      <c r="A23" s="159">
        <f t="shared" si="0"/>
        <v>12</v>
      </c>
      <c r="B23" s="183"/>
      <c r="C23" s="495"/>
      <c r="D23" s="476"/>
      <c r="E23" s="162"/>
      <c r="F23" s="159">
        <f t="shared" si="1"/>
        <v>12</v>
      </c>
    </row>
    <row r="24" spans="1:6" x14ac:dyDescent="0.25">
      <c r="A24" s="159">
        <f t="shared" si="0"/>
        <v>13</v>
      </c>
      <c r="B24" s="316" t="s">
        <v>520</v>
      </c>
      <c r="C24" s="489"/>
      <c r="D24" s="490"/>
      <c r="E24" s="162"/>
      <c r="F24" s="159">
        <f t="shared" si="1"/>
        <v>13</v>
      </c>
    </row>
    <row r="25" spans="1:6" x14ac:dyDescent="0.25">
      <c r="A25" s="159">
        <f t="shared" si="0"/>
        <v>14</v>
      </c>
      <c r="B25" s="267" t="s">
        <v>521</v>
      </c>
      <c r="C25" s="700">
        <v>-944883.04939016129</v>
      </c>
      <c r="D25" s="25" t="s">
        <v>31</v>
      </c>
      <c r="E25" s="209" t="s">
        <v>522</v>
      </c>
      <c r="F25" s="159">
        <f t="shared" si="1"/>
        <v>14</v>
      </c>
    </row>
    <row r="26" spans="1:6" x14ac:dyDescent="0.25">
      <c r="A26" s="159">
        <f t="shared" si="0"/>
        <v>15</v>
      </c>
      <c r="B26" s="267" t="s">
        <v>523</v>
      </c>
      <c r="C26" s="497">
        <v>0</v>
      </c>
      <c r="D26" s="478"/>
      <c r="E26" s="209" t="s">
        <v>524</v>
      </c>
      <c r="F26" s="159">
        <f t="shared" si="1"/>
        <v>15</v>
      </c>
    </row>
    <row r="27" spans="1:6" x14ac:dyDescent="0.25">
      <c r="A27" s="159">
        <f t="shared" si="0"/>
        <v>16</v>
      </c>
      <c r="B27" s="183" t="s">
        <v>525</v>
      </c>
      <c r="C27" s="501">
        <f>SUM(C25:C26)</f>
        <v>-944883.04939016129</v>
      </c>
      <c r="D27" s="25" t="s">
        <v>31</v>
      </c>
      <c r="E27" s="209" t="s">
        <v>526</v>
      </c>
      <c r="F27" s="159">
        <f t="shared" si="1"/>
        <v>16</v>
      </c>
    </row>
    <row r="28" spans="1:6" x14ac:dyDescent="0.25">
      <c r="A28" s="159">
        <f t="shared" si="0"/>
        <v>17</v>
      </c>
      <c r="B28" s="163"/>
      <c r="C28" s="498"/>
      <c r="D28" s="499"/>
      <c r="E28" s="162"/>
      <c r="F28" s="159">
        <f t="shared" si="1"/>
        <v>17</v>
      </c>
    </row>
    <row r="29" spans="1:6" x14ac:dyDescent="0.25">
      <c r="A29" s="159">
        <f t="shared" si="0"/>
        <v>18</v>
      </c>
      <c r="B29" s="316" t="s">
        <v>527</v>
      </c>
      <c r="C29" s="498"/>
      <c r="D29" s="499"/>
      <c r="E29" s="162"/>
      <c r="F29" s="159">
        <f t="shared" si="1"/>
        <v>18</v>
      </c>
    </row>
    <row r="30" spans="1:6" x14ac:dyDescent="0.25">
      <c r="A30" s="159">
        <f t="shared" si="0"/>
        <v>19</v>
      </c>
      <c r="B30" s="183" t="s">
        <v>528</v>
      </c>
      <c r="C30" s="483">
        <v>51269.428222656083</v>
      </c>
      <c r="D30" s="478"/>
      <c r="E30" s="209" t="s">
        <v>109</v>
      </c>
      <c r="F30" s="159">
        <f t="shared" si="1"/>
        <v>19</v>
      </c>
    </row>
    <row r="31" spans="1:6" x14ac:dyDescent="0.25">
      <c r="A31" s="159">
        <f t="shared" si="0"/>
        <v>20</v>
      </c>
      <c r="B31" s="183" t="s">
        <v>529</v>
      </c>
      <c r="C31" s="484">
        <v>37308.787275766081</v>
      </c>
      <c r="D31" s="478"/>
      <c r="E31" s="209" t="s">
        <v>111</v>
      </c>
      <c r="F31" s="159">
        <f t="shared" si="1"/>
        <v>20</v>
      </c>
    </row>
    <row r="32" spans="1:6" x14ac:dyDescent="0.25">
      <c r="A32" s="159">
        <f t="shared" si="0"/>
        <v>21</v>
      </c>
      <c r="B32" s="183" t="s">
        <v>530</v>
      </c>
      <c r="C32" s="731">
        <v>11437.017373700237</v>
      </c>
      <c r="D32" s="25" t="s">
        <v>31</v>
      </c>
      <c r="E32" s="209" t="s">
        <v>113</v>
      </c>
      <c r="F32" s="159">
        <f t="shared" si="1"/>
        <v>21</v>
      </c>
    </row>
    <row r="33" spans="1:6" x14ac:dyDescent="0.25">
      <c r="A33" s="159">
        <f t="shared" si="0"/>
        <v>22</v>
      </c>
      <c r="B33" s="183" t="s">
        <v>531</v>
      </c>
      <c r="C33" s="501">
        <f>SUM(C30:C32)</f>
        <v>100015.23287212239</v>
      </c>
      <c r="D33" s="25" t="s">
        <v>31</v>
      </c>
      <c r="E33" s="209" t="s">
        <v>532</v>
      </c>
      <c r="F33" s="159">
        <f t="shared" si="1"/>
        <v>22</v>
      </c>
    </row>
    <row r="34" spans="1:6" x14ac:dyDescent="0.25">
      <c r="A34" s="159">
        <f t="shared" si="0"/>
        <v>23</v>
      </c>
      <c r="B34" s="185"/>
      <c r="C34" s="502"/>
      <c r="D34" s="503"/>
      <c r="E34" s="162"/>
      <c r="F34" s="159">
        <f t="shared" si="1"/>
        <v>23</v>
      </c>
    </row>
    <row r="35" spans="1:6" x14ac:dyDescent="0.25">
      <c r="A35" s="159">
        <f t="shared" si="0"/>
        <v>24</v>
      </c>
      <c r="B35" s="183" t="s">
        <v>533</v>
      </c>
      <c r="C35" s="732">
        <v>0</v>
      </c>
      <c r="D35" s="478"/>
      <c r="E35" s="209" t="s">
        <v>534</v>
      </c>
      <c r="F35" s="159">
        <f t="shared" si="1"/>
        <v>24</v>
      </c>
    </row>
    <row r="36" spans="1:6" x14ac:dyDescent="0.25">
      <c r="A36" s="159">
        <f t="shared" si="0"/>
        <v>25</v>
      </c>
      <c r="B36" s="183"/>
      <c r="C36" s="502"/>
      <c r="D36" s="503"/>
      <c r="E36" s="162"/>
      <c r="F36" s="159">
        <f t="shared" si="1"/>
        <v>25</v>
      </c>
    </row>
    <row r="37" spans="1:6" ht="16.5" thickBot="1" x14ac:dyDescent="0.3">
      <c r="A37" s="159">
        <f t="shared" si="0"/>
        <v>26</v>
      </c>
      <c r="B37" s="183" t="s">
        <v>535</v>
      </c>
      <c r="C37" s="505">
        <f>C17+C22+C27+C33+C35</f>
        <v>4556080.4008445432</v>
      </c>
      <c r="D37" s="25" t="s">
        <v>31</v>
      </c>
      <c r="E37" s="209" t="s">
        <v>536</v>
      </c>
      <c r="F37" s="159">
        <f t="shared" si="1"/>
        <v>26</v>
      </c>
    </row>
    <row r="38" spans="1:6" ht="16.5" thickTop="1" x14ac:dyDescent="0.25">
      <c r="A38" s="159">
        <f t="shared" si="0"/>
        <v>27</v>
      </c>
      <c r="B38" s="185"/>
      <c r="C38" s="506"/>
      <c r="D38" s="488"/>
      <c r="E38" s="162"/>
      <c r="F38" s="159">
        <f t="shared" si="1"/>
        <v>27</v>
      </c>
    </row>
    <row r="39" spans="1:6" x14ac:dyDescent="0.25">
      <c r="A39" s="159">
        <f t="shared" si="0"/>
        <v>28</v>
      </c>
      <c r="B39" s="316" t="s">
        <v>537</v>
      </c>
      <c r="C39" s="506"/>
      <c r="D39" s="488"/>
      <c r="E39" s="162"/>
      <c r="F39" s="159">
        <f t="shared" si="1"/>
        <v>28</v>
      </c>
    </row>
    <row r="40" spans="1:6" x14ac:dyDescent="0.25">
      <c r="A40" s="159">
        <f t="shared" si="0"/>
        <v>29</v>
      </c>
      <c r="B40" s="183" t="s">
        <v>538</v>
      </c>
      <c r="C40" s="507">
        <v>0</v>
      </c>
      <c r="D40" s="508"/>
      <c r="E40" s="209" t="s">
        <v>265</v>
      </c>
      <c r="F40" s="159">
        <f t="shared" si="1"/>
        <v>29</v>
      </c>
    </row>
    <row r="41" spans="1:6" x14ac:dyDescent="0.25">
      <c r="A41" s="159">
        <f t="shared" si="0"/>
        <v>30</v>
      </c>
      <c r="B41" s="183" t="s">
        <v>539</v>
      </c>
      <c r="C41" s="509">
        <v>0</v>
      </c>
      <c r="D41" s="478"/>
      <c r="E41" s="209" t="s">
        <v>265</v>
      </c>
      <c r="F41" s="159">
        <f t="shared" si="1"/>
        <v>30</v>
      </c>
    </row>
    <row r="42" spans="1:6" x14ac:dyDescent="0.25">
      <c r="A42" s="159">
        <f t="shared" si="0"/>
        <v>31</v>
      </c>
      <c r="B42" s="267" t="s">
        <v>540</v>
      </c>
      <c r="C42" s="501">
        <f>C40+C41</f>
        <v>0</v>
      </c>
      <c r="D42" s="488"/>
      <c r="E42" s="209" t="s">
        <v>541</v>
      </c>
      <c r="F42" s="159">
        <f t="shared" si="1"/>
        <v>31</v>
      </c>
    </row>
    <row r="43" spans="1:6" x14ac:dyDescent="0.25">
      <c r="A43" s="159">
        <f t="shared" si="0"/>
        <v>32</v>
      </c>
      <c r="B43" s="185"/>
      <c r="C43" s="506"/>
      <c r="D43" s="488"/>
      <c r="E43" s="162"/>
      <c r="F43" s="159">
        <f t="shared" si="1"/>
        <v>32</v>
      </c>
    </row>
    <row r="44" spans="1:6" x14ac:dyDescent="0.25">
      <c r="A44" s="159">
        <f t="shared" si="0"/>
        <v>33</v>
      </c>
      <c r="B44" s="316" t="s">
        <v>542</v>
      </c>
      <c r="C44" s="506"/>
      <c r="D44" s="488"/>
      <c r="E44" s="162"/>
      <c r="F44" s="159">
        <f t="shared" si="1"/>
        <v>33</v>
      </c>
    </row>
    <row r="45" spans="1:6" x14ac:dyDescent="0.25">
      <c r="A45" s="159">
        <f t="shared" si="0"/>
        <v>34</v>
      </c>
      <c r="B45" s="183" t="s">
        <v>543</v>
      </c>
      <c r="C45" s="507">
        <v>0</v>
      </c>
      <c r="D45" s="478"/>
      <c r="E45" s="209" t="s">
        <v>265</v>
      </c>
      <c r="F45" s="159">
        <f t="shared" si="1"/>
        <v>34</v>
      </c>
    </row>
    <row r="46" spans="1:6" x14ac:dyDescent="0.25">
      <c r="A46" s="159">
        <f t="shared" si="0"/>
        <v>35</v>
      </c>
      <c r="B46" s="267" t="s">
        <v>544</v>
      </c>
      <c r="C46" s="733">
        <v>0</v>
      </c>
      <c r="D46" s="478"/>
      <c r="E46" s="209" t="s">
        <v>265</v>
      </c>
      <c r="F46" s="159">
        <f t="shared" si="1"/>
        <v>35</v>
      </c>
    </row>
    <row r="47" spans="1:6" x14ac:dyDescent="0.25">
      <c r="A47" s="159">
        <f t="shared" si="0"/>
        <v>36</v>
      </c>
      <c r="B47" s="267" t="s">
        <v>545</v>
      </c>
      <c r="C47" s="501">
        <f>C45+C46</f>
        <v>0</v>
      </c>
      <c r="D47" s="488"/>
      <c r="E47" s="209" t="s">
        <v>546</v>
      </c>
      <c r="F47" s="159">
        <f t="shared" si="1"/>
        <v>36</v>
      </c>
    </row>
    <row r="48" spans="1:6" x14ac:dyDescent="0.25">
      <c r="A48" s="159">
        <f t="shared" si="0"/>
        <v>37</v>
      </c>
      <c r="B48" s="185"/>
      <c r="C48" s="506"/>
      <c r="D48" s="488"/>
      <c r="E48" s="162"/>
      <c r="F48" s="159">
        <f t="shared" si="1"/>
        <v>37</v>
      </c>
    </row>
    <row r="49" spans="1:6" ht="16.5" thickBot="1" x14ac:dyDescent="0.3">
      <c r="A49" s="159">
        <f t="shared" si="0"/>
        <v>38</v>
      </c>
      <c r="B49" s="316" t="s">
        <v>547</v>
      </c>
      <c r="C49" s="511">
        <v>0</v>
      </c>
      <c r="D49" s="478"/>
      <c r="E49" s="209" t="s">
        <v>265</v>
      </c>
      <c r="F49" s="159">
        <f t="shared" si="1"/>
        <v>38</v>
      </c>
    </row>
    <row r="50" spans="1:6" ht="16.5" thickTop="1" x14ac:dyDescent="0.25">
      <c r="A50" s="159"/>
      <c r="B50" s="316"/>
      <c r="C50" s="665"/>
      <c r="D50" s="478"/>
      <c r="E50" s="209"/>
      <c r="F50" s="159"/>
    </row>
    <row r="51" spans="1:6" x14ac:dyDescent="0.25">
      <c r="A51" s="159"/>
      <c r="B51" s="185"/>
      <c r="C51" s="506"/>
      <c r="D51" s="488"/>
      <c r="E51" s="162"/>
      <c r="F51" s="159"/>
    </row>
    <row r="52" spans="1:6" x14ac:dyDescent="0.25">
      <c r="A52" s="25" t="s">
        <v>31</v>
      </c>
      <c r="B52" s="23" t="s">
        <v>598</v>
      </c>
      <c r="C52" s="163"/>
      <c r="D52" s="163"/>
      <c r="E52" s="163"/>
      <c r="F52" s="159"/>
    </row>
    <row r="53" spans="1:6" x14ac:dyDescent="0.25">
      <c r="A53" s="25"/>
      <c r="B53" s="23" t="s">
        <v>599</v>
      </c>
      <c r="C53" s="163"/>
      <c r="D53" s="163"/>
      <c r="E53" s="163"/>
      <c r="F53" s="159"/>
    </row>
    <row r="54" spans="1:6" x14ac:dyDescent="0.25">
      <c r="A54" s="25"/>
      <c r="B54" s="23"/>
      <c r="C54" s="163"/>
      <c r="D54" s="163"/>
      <c r="E54" s="163"/>
      <c r="F54" s="159"/>
    </row>
    <row r="55" spans="1:6" x14ac:dyDescent="0.25">
      <c r="A55" s="159"/>
      <c r="B55" s="801" t="str">
        <f>B3</f>
        <v>SAN DIEGO GAS &amp; ELECTRIC COMPANY</v>
      </c>
      <c r="C55" s="822"/>
      <c r="D55" s="822"/>
      <c r="E55" s="822"/>
      <c r="F55" s="159"/>
    </row>
    <row r="56" spans="1:6" x14ac:dyDescent="0.25">
      <c r="A56" s="159"/>
      <c r="B56" s="801" t="str">
        <f>B4</f>
        <v xml:space="preserve">Derivation of End Use Transmission Rate Base </v>
      </c>
      <c r="C56" s="822"/>
      <c r="D56" s="822"/>
      <c r="E56" s="822"/>
      <c r="F56" s="159"/>
    </row>
    <row r="57" spans="1:6" x14ac:dyDescent="0.25">
      <c r="A57" s="159"/>
      <c r="B57" s="819" t="str">
        <f>B5</f>
        <v>Base Period &amp; True-Up Period 12 - Months Ending December 31, 2020</v>
      </c>
      <c r="C57" s="820"/>
      <c r="D57" s="820"/>
      <c r="E57" s="820"/>
      <c r="F57" s="159"/>
    </row>
    <row r="58" spans="1:6" x14ac:dyDescent="0.25">
      <c r="A58" s="159"/>
      <c r="B58" s="821" t="s">
        <v>3</v>
      </c>
      <c r="C58" s="822"/>
      <c r="D58" s="822"/>
      <c r="E58" s="822"/>
      <c r="F58" s="159"/>
    </row>
    <row r="59" spans="1:6" x14ac:dyDescent="0.25">
      <c r="A59" s="159"/>
      <c r="B59" s="608"/>
      <c r="C59" s="163"/>
      <c r="D59" s="163"/>
      <c r="E59" s="163"/>
      <c r="F59" s="159"/>
    </row>
    <row r="60" spans="1:6" x14ac:dyDescent="0.25">
      <c r="A60" s="159" t="s">
        <v>4</v>
      </c>
      <c r="B60" s="608"/>
      <c r="C60" s="163"/>
      <c r="D60" s="163"/>
      <c r="E60" s="163"/>
      <c r="F60" s="159"/>
    </row>
    <row r="61" spans="1:6" x14ac:dyDescent="0.25">
      <c r="A61" s="159" t="s">
        <v>5</v>
      </c>
      <c r="B61" s="608"/>
      <c r="C61" s="163"/>
      <c r="D61" s="163"/>
      <c r="E61" s="163"/>
      <c r="F61" s="159"/>
    </row>
    <row r="62" spans="1:6" x14ac:dyDescent="0.25">
      <c r="A62" s="159"/>
      <c r="B62" s="316" t="s">
        <v>548</v>
      </c>
      <c r="C62" s="163"/>
      <c r="D62" s="163"/>
      <c r="E62" s="163"/>
      <c r="F62" s="159"/>
    </row>
    <row r="63" spans="1:6" x14ac:dyDescent="0.25">
      <c r="A63" s="159"/>
      <c r="B63" s="482"/>
      <c r="C63" s="478"/>
      <c r="D63" s="478"/>
      <c r="E63" s="162"/>
      <c r="F63" s="159"/>
    </row>
    <row r="64" spans="1:6" x14ac:dyDescent="0.25">
      <c r="A64" s="159">
        <v>1</v>
      </c>
      <c r="B64" s="316" t="s">
        <v>549</v>
      </c>
      <c r="C64" s="478"/>
      <c r="D64" s="478"/>
      <c r="E64" s="162"/>
      <c r="F64" s="159">
        <f t="shared" ref="F64:F88" si="2">A64</f>
        <v>1</v>
      </c>
    </row>
    <row r="65" spans="1:8" x14ac:dyDescent="0.25">
      <c r="A65" s="159">
        <v>2</v>
      </c>
      <c r="B65" s="183" t="s">
        <v>505</v>
      </c>
      <c r="C65" s="512">
        <v>6717604.4084030753</v>
      </c>
      <c r="D65" s="478"/>
      <c r="E65" s="209" t="s">
        <v>550</v>
      </c>
      <c r="F65" s="159">
        <f t="shared" si="2"/>
        <v>2</v>
      </c>
      <c r="G65" s="513"/>
      <c r="H65" s="514"/>
    </row>
    <row r="66" spans="1:8" x14ac:dyDescent="0.25">
      <c r="A66" s="159">
        <v>3</v>
      </c>
      <c r="B66" s="183" t="s">
        <v>551</v>
      </c>
      <c r="C66" s="515">
        <v>19671.544520386884</v>
      </c>
      <c r="D66" s="478"/>
      <c r="E66" s="209" t="s">
        <v>552</v>
      </c>
      <c r="F66" s="159">
        <f t="shared" si="2"/>
        <v>3</v>
      </c>
      <c r="G66" s="513"/>
      <c r="H66" s="514"/>
    </row>
    <row r="67" spans="1:8" x14ac:dyDescent="0.25">
      <c r="A67" s="159">
        <v>4</v>
      </c>
      <c r="B67" s="183" t="s">
        <v>266</v>
      </c>
      <c r="C67" s="515">
        <v>49193.51899590245</v>
      </c>
      <c r="D67" s="478"/>
      <c r="E67" s="209" t="s">
        <v>267</v>
      </c>
      <c r="F67" s="159">
        <f t="shared" si="2"/>
        <v>4</v>
      </c>
      <c r="G67" s="513"/>
      <c r="H67" s="516"/>
    </row>
    <row r="68" spans="1:8" x14ac:dyDescent="0.25">
      <c r="A68" s="159">
        <v>5</v>
      </c>
      <c r="B68" s="183" t="s">
        <v>509</v>
      </c>
      <c r="C68" s="734">
        <v>121720.77530805826</v>
      </c>
      <c r="D68" s="478"/>
      <c r="E68" s="209" t="s">
        <v>269</v>
      </c>
      <c r="F68" s="159">
        <f t="shared" si="2"/>
        <v>5</v>
      </c>
      <c r="G68" s="514"/>
      <c r="H68" s="514"/>
    </row>
    <row r="69" spans="1:8" x14ac:dyDescent="0.25">
      <c r="A69" s="159">
        <v>6</v>
      </c>
      <c r="B69" s="183" t="s">
        <v>553</v>
      </c>
      <c r="C69" s="487">
        <f>SUM(C65:C68)</f>
        <v>6908190.2472274229</v>
      </c>
      <c r="D69" s="488"/>
      <c r="E69" s="209" t="s">
        <v>512</v>
      </c>
      <c r="F69" s="159">
        <f t="shared" si="2"/>
        <v>6</v>
      </c>
      <c r="G69" s="513"/>
      <c r="H69" s="514"/>
    </row>
    <row r="70" spans="1:8" x14ac:dyDescent="0.25">
      <c r="A70" s="159">
        <v>7</v>
      </c>
      <c r="B70" s="267"/>
      <c r="C70" s="518"/>
      <c r="D70" s="478"/>
      <c r="E70" s="162"/>
      <c r="F70" s="159">
        <f t="shared" si="2"/>
        <v>7</v>
      </c>
      <c r="G70" s="514"/>
      <c r="H70" s="514"/>
    </row>
    <row r="71" spans="1:8" x14ac:dyDescent="0.25">
      <c r="A71" s="159">
        <v>8</v>
      </c>
      <c r="B71" s="315" t="s">
        <v>554</v>
      </c>
      <c r="C71" s="518"/>
      <c r="D71" s="478"/>
      <c r="E71" s="162"/>
      <c r="F71" s="159">
        <f t="shared" si="2"/>
        <v>8</v>
      </c>
      <c r="G71" s="514"/>
      <c r="H71" s="514"/>
    </row>
    <row r="72" spans="1:8" x14ac:dyDescent="0.25">
      <c r="A72" s="159">
        <v>9</v>
      </c>
      <c r="B72" s="267" t="s">
        <v>555</v>
      </c>
      <c r="C72" s="512">
        <v>1410479.6822169228</v>
      </c>
      <c r="D72" s="25"/>
      <c r="E72" s="209" t="s">
        <v>556</v>
      </c>
      <c r="F72" s="159">
        <f t="shared" si="2"/>
        <v>9</v>
      </c>
      <c r="G72" s="514"/>
      <c r="H72" s="514"/>
    </row>
    <row r="73" spans="1:8" x14ac:dyDescent="0.25">
      <c r="A73" s="159">
        <v>10</v>
      </c>
      <c r="B73" s="267" t="s">
        <v>557</v>
      </c>
      <c r="C73" s="515">
        <v>16157.661721714056</v>
      </c>
      <c r="D73" s="478"/>
      <c r="E73" s="209" t="s">
        <v>558</v>
      </c>
      <c r="F73" s="159">
        <f t="shared" si="2"/>
        <v>10</v>
      </c>
      <c r="G73" s="514"/>
      <c r="H73" s="514"/>
    </row>
    <row r="74" spans="1:8" x14ac:dyDescent="0.25">
      <c r="A74" s="159">
        <v>11</v>
      </c>
      <c r="B74" s="267" t="s">
        <v>559</v>
      </c>
      <c r="C74" s="515">
        <v>20095.78885559523</v>
      </c>
      <c r="D74" s="478"/>
      <c r="E74" s="209" t="s">
        <v>560</v>
      </c>
      <c r="F74" s="159">
        <f t="shared" si="2"/>
        <v>11</v>
      </c>
      <c r="G74" s="514"/>
      <c r="H74" s="514"/>
    </row>
    <row r="75" spans="1:8" x14ac:dyDescent="0.25">
      <c r="A75" s="159">
        <v>12</v>
      </c>
      <c r="B75" s="267" t="s">
        <v>561</v>
      </c>
      <c r="C75" s="734">
        <v>60508.897070608007</v>
      </c>
      <c r="D75" s="478"/>
      <c r="E75" s="209" t="s">
        <v>562</v>
      </c>
      <c r="F75" s="159">
        <f t="shared" si="2"/>
        <v>12</v>
      </c>
      <c r="G75" s="514"/>
      <c r="H75" s="514"/>
    </row>
    <row r="76" spans="1:8" x14ac:dyDescent="0.25">
      <c r="A76" s="159">
        <v>13</v>
      </c>
      <c r="B76" s="519" t="s">
        <v>563</v>
      </c>
      <c r="C76" s="487">
        <f>SUM(C72:C75)</f>
        <v>1507242.0298648402</v>
      </c>
      <c r="D76" s="25"/>
      <c r="E76" s="209" t="s">
        <v>564</v>
      </c>
      <c r="F76" s="159">
        <f t="shared" si="2"/>
        <v>13</v>
      </c>
      <c r="G76" s="514"/>
      <c r="H76" s="514"/>
    </row>
    <row r="77" spans="1:8" x14ac:dyDescent="0.25">
      <c r="A77" s="159">
        <v>14</v>
      </c>
      <c r="B77" s="519"/>
      <c r="C77" s="498"/>
      <c r="D77" s="499"/>
      <c r="E77" s="162"/>
      <c r="F77" s="159">
        <f t="shared" si="2"/>
        <v>14</v>
      </c>
      <c r="G77" s="514"/>
      <c r="H77" s="514"/>
    </row>
    <row r="78" spans="1:8" x14ac:dyDescent="0.25">
      <c r="A78" s="159">
        <v>15</v>
      </c>
      <c r="B78" s="316" t="s">
        <v>504</v>
      </c>
      <c r="C78" s="498"/>
      <c r="D78" s="499"/>
      <c r="E78" s="162"/>
      <c r="F78" s="159">
        <f t="shared" si="2"/>
        <v>15</v>
      </c>
      <c r="G78" s="514"/>
      <c r="H78" s="514"/>
    </row>
    <row r="79" spans="1:8" x14ac:dyDescent="0.25">
      <c r="A79" s="159">
        <v>16</v>
      </c>
      <c r="B79" s="183" t="s">
        <v>505</v>
      </c>
      <c r="C79" s="643">
        <f>C65-C72</f>
        <v>5307124.7261861525</v>
      </c>
      <c r="D79" s="25"/>
      <c r="E79" s="209" t="s">
        <v>565</v>
      </c>
      <c r="F79" s="159">
        <f t="shared" si="2"/>
        <v>16</v>
      </c>
      <c r="G79" s="514"/>
      <c r="H79" s="514"/>
    </row>
    <row r="80" spans="1:8" x14ac:dyDescent="0.25">
      <c r="A80" s="159">
        <v>17</v>
      </c>
      <c r="B80" s="183" t="s">
        <v>264</v>
      </c>
      <c r="C80" s="520">
        <f>C66-C73</f>
        <v>3513.8827986728284</v>
      </c>
      <c r="D80" s="521"/>
      <c r="E80" s="209" t="s">
        <v>566</v>
      </c>
      <c r="F80" s="159">
        <f t="shared" si="2"/>
        <v>17</v>
      </c>
      <c r="G80" s="514"/>
      <c r="H80" s="514"/>
    </row>
    <row r="81" spans="1:6" x14ac:dyDescent="0.25">
      <c r="A81" s="159">
        <v>18</v>
      </c>
      <c r="B81" s="183" t="s">
        <v>266</v>
      </c>
      <c r="C81" s="520">
        <f>C67-C74</f>
        <v>29097.73014030722</v>
      </c>
      <c r="D81" s="521"/>
      <c r="E81" s="209" t="s">
        <v>567</v>
      </c>
      <c r="F81" s="159">
        <f t="shared" si="2"/>
        <v>18</v>
      </c>
    </row>
    <row r="82" spans="1:6" x14ac:dyDescent="0.25">
      <c r="A82" s="159">
        <v>19</v>
      </c>
      <c r="B82" s="183" t="s">
        <v>509</v>
      </c>
      <c r="C82" s="735">
        <f>C68-C75</f>
        <v>61211.878237450255</v>
      </c>
      <c r="D82" s="523"/>
      <c r="E82" s="209" t="s">
        <v>568</v>
      </c>
      <c r="F82" s="159">
        <f t="shared" si="2"/>
        <v>19</v>
      </c>
    </row>
    <row r="83" spans="1:6" ht="16.5" thickBot="1" x14ac:dyDescent="0.3">
      <c r="A83" s="159">
        <v>20</v>
      </c>
      <c r="B83" s="267" t="s">
        <v>511</v>
      </c>
      <c r="C83" s="644">
        <f>SUM(C79:C82)</f>
        <v>5400948.2173625827</v>
      </c>
      <c r="D83" s="25"/>
      <c r="E83" s="209" t="s">
        <v>569</v>
      </c>
      <c r="F83" s="159">
        <f t="shared" si="2"/>
        <v>20</v>
      </c>
    </row>
    <row r="84" spans="1:6" ht="16.5" thickTop="1" x14ac:dyDescent="0.25">
      <c r="A84" s="159">
        <v>21</v>
      </c>
      <c r="B84" s="185"/>
      <c r="C84" s="488"/>
      <c r="D84" s="488"/>
      <c r="E84" s="162"/>
      <c r="F84" s="159">
        <f t="shared" si="2"/>
        <v>21</v>
      </c>
    </row>
    <row r="85" spans="1:6" x14ac:dyDescent="0.25">
      <c r="A85" s="159">
        <v>22</v>
      </c>
      <c r="B85" s="316" t="s">
        <v>570</v>
      </c>
      <c r="C85" s="488"/>
      <c r="D85" s="488"/>
      <c r="E85" s="162"/>
      <c r="F85" s="159">
        <f t="shared" si="2"/>
        <v>22</v>
      </c>
    </row>
    <row r="86" spans="1:6" x14ac:dyDescent="0.25">
      <c r="A86" s="159">
        <v>23</v>
      </c>
      <c r="B86" s="183" t="s">
        <v>571</v>
      </c>
      <c r="C86" s="507">
        <v>0</v>
      </c>
      <c r="D86" s="488"/>
      <c r="E86" s="209" t="s">
        <v>265</v>
      </c>
      <c r="F86" s="159">
        <f t="shared" si="2"/>
        <v>23</v>
      </c>
    </row>
    <row r="87" spans="1:6" x14ac:dyDescent="0.25">
      <c r="A87" s="159">
        <v>24</v>
      </c>
      <c r="B87" s="267" t="s">
        <v>572</v>
      </c>
      <c r="C87" s="733">
        <v>0</v>
      </c>
      <c r="D87" s="488"/>
      <c r="E87" s="209" t="s">
        <v>265</v>
      </c>
      <c r="F87" s="159">
        <f t="shared" si="2"/>
        <v>24</v>
      </c>
    </row>
    <row r="88" spans="1:6" ht="16.5" thickBot="1" x14ac:dyDescent="0.3">
      <c r="A88" s="159">
        <v>25</v>
      </c>
      <c r="B88" s="183" t="s">
        <v>573</v>
      </c>
      <c r="C88" s="524">
        <f>C86-C87</f>
        <v>0</v>
      </c>
      <c r="D88" s="488"/>
      <c r="E88" s="209" t="s">
        <v>574</v>
      </c>
      <c r="F88" s="159">
        <f t="shared" si="2"/>
        <v>25</v>
      </c>
    </row>
    <row r="89" spans="1:6" ht="16.5" thickTop="1" x14ac:dyDescent="0.25">
      <c r="A89" s="159"/>
    </row>
    <row r="90" spans="1:6" x14ac:dyDescent="0.25">
      <c r="A90" s="25"/>
      <c r="B90" s="23"/>
    </row>
  </sheetData>
  <mergeCells count="8">
    <mergeCell ref="B3:E3"/>
    <mergeCell ref="B58:E58"/>
    <mergeCell ref="B56:E56"/>
    <mergeCell ref="B57:E57"/>
    <mergeCell ref="B4:E4"/>
    <mergeCell ref="B5:E5"/>
    <mergeCell ref="B6:E6"/>
    <mergeCell ref="B55:E5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 AV-4 WITH COST ADJ. INCL. IN APPENDIX X CYCLE 11 (ER23-109)</oddHeader>
    <oddFooter>&amp;L&amp;F&amp;CPage 13.&amp;P&amp;R&amp;A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8"/>
  <sheetViews>
    <sheetView zoomScale="80" zoomScaleNormal="80" workbookViewId="0"/>
  </sheetViews>
  <sheetFormatPr defaultColWidth="8.85546875" defaultRowHeight="15.75" x14ac:dyDescent="0.25"/>
  <cols>
    <col min="1" max="1" width="5.140625" style="36" customWidth="1"/>
    <col min="2" max="2" width="70.85546875" style="18" customWidth="1"/>
    <col min="3" max="3" width="16.140625" style="18" bestFit="1" customWidth="1"/>
    <col min="4" max="4" width="1.85546875" style="18" customWidth="1"/>
    <col min="5" max="5" width="21.140625" style="18" customWidth="1"/>
    <col min="6" max="6" width="1.85546875" style="18" customWidth="1"/>
    <col min="7" max="7" width="12.85546875" style="18" customWidth="1"/>
    <col min="8" max="8" width="40.85546875" style="18" customWidth="1"/>
    <col min="9" max="9" width="5.140625" style="36" customWidth="1"/>
    <col min="10" max="16384" width="8.85546875" style="18"/>
  </cols>
  <sheetData>
    <row r="2" spans="1:11" x14ac:dyDescent="0.25">
      <c r="A2" s="161"/>
      <c r="B2" s="801" t="s">
        <v>19</v>
      </c>
      <c r="C2" s="801"/>
      <c r="D2" s="801"/>
      <c r="E2" s="801"/>
      <c r="F2" s="801"/>
      <c r="G2" s="801"/>
      <c r="H2" s="801"/>
      <c r="I2" s="161"/>
    </row>
    <row r="3" spans="1:11" x14ac:dyDescent="0.25">
      <c r="A3" s="161"/>
      <c r="B3" s="801" t="s">
        <v>20</v>
      </c>
      <c r="C3" s="801"/>
      <c r="D3" s="801"/>
      <c r="E3" s="801"/>
      <c r="F3" s="801"/>
      <c r="G3" s="801"/>
      <c r="H3" s="801"/>
      <c r="I3" s="162"/>
    </row>
    <row r="4" spans="1:11" x14ac:dyDescent="0.25">
      <c r="B4" s="801" t="s">
        <v>594</v>
      </c>
      <c r="C4" s="801"/>
      <c r="D4" s="801"/>
      <c r="E4" s="801"/>
      <c r="F4" s="801"/>
      <c r="G4" s="801"/>
      <c r="H4" s="801"/>
      <c r="I4" s="158"/>
    </row>
    <row r="5" spans="1:11" x14ac:dyDescent="0.25">
      <c r="B5" s="801" t="s">
        <v>2</v>
      </c>
      <c r="C5" s="801"/>
      <c r="D5" s="801"/>
      <c r="E5" s="801"/>
      <c r="F5" s="801"/>
      <c r="G5" s="801"/>
      <c r="H5" s="801"/>
      <c r="I5" s="158"/>
    </row>
    <row r="6" spans="1:11" x14ac:dyDescent="0.25">
      <c r="B6" s="802" t="s">
        <v>3</v>
      </c>
      <c r="C6" s="801"/>
      <c r="D6" s="801"/>
      <c r="E6" s="801"/>
      <c r="F6" s="801"/>
      <c r="G6" s="801"/>
      <c r="H6" s="801"/>
      <c r="I6" s="158"/>
    </row>
    <row r="7" spans="1:11" x14ac:dyDescent="0.25">
      <c r="A7" s="161"/>
      <c r="B7" s="162"/>
      <c r="C7" s="163"/>
      <c r="D7" s="163"/>
      <c r="E7" s="163"/>
      <c r="F7" s="163"/>
      <c r="G7" s="163"/>
      <c r="H7" s="163"/>
      <c r="I7" s="161"/>
    </row>
    <row r="8" spans="1:11" ht="16.5" thickBot="1" x14ac:dyDescent="0.3">
      <c r="A8" s="161"/>
      <c r="B8" s="162"/>
      <c r="C8" s="264" t="s">
        <v>21</v>
      </c>
      <c r="D8" s="263"/>
      <c r="E8" s="264" t="s">
        <v>22</v>
      </c>
      <c r="F8" s="263"/>
      <c r="G8" s="264" t="s">
        <v>23</v>
      </c>
      <c r="H8" s="163"/>
      <c r="I8" s="161"/>
    </row>
    <row r="9" spans="1:11" ht="47.25" x14ac:dyDescent="0.25">
      <c r="A9" s="634" t="s">
        <v>4</v>
      </c>
      <c r="B9" s="265"/>
      <c r="C9" s="269" t="s">
        <v>24</v>
      </c>
      <c r="D9" s="162"/>
      <c r="E9" s="255" t="s">
        <v>634</v>
      </c>
      <c r="F9" s="22"/>
      <c r="G9" s="157" t="s">
        <v>25</v>
      </c>
      <c r="H9" s="168"/>
      <c r="I9" s="635" t="s">
        <v>4</v>
      </c>
    </row>
    <row r="10" spans="1:11" x14ac:dyDescent="0.25">
      <c r="A10" s="165" t="s">
        <v>5</v>
      </c>
      <c r="B10" s="372" t="s">
        <v>26</v>
      </c>
      <c r="C10" s="372" t="s">
        <v>7</v>
      </c>
      <c r="D10" s="372"/>
      <c r="E10" s="372" t="s">
        <v>7</v>
      </c>
      <c r="F10" s="372"/>
      <c r="G10" s="669" t="s">
        <v>27</v>
      </c>
      <c r="H10" s="372" t="s">
        <v>8</v>
      </c>
      <c r="I10" s="169" t="s">
        <v>5</v>
      </c>
    </row>
    <row r="11" spans="1:11" x14ac:dyDescent="0.25">
      <c r="A11" s="165"/>
      <c r="B11" s="266"/>
      <c r="C11" s="173"/>
      <c r="D11" s="172"/>
      <c r="E11" s="172"/>
      <c r="F11" s="172"/>
      <c r="G11" s="172"/>
      <c r="H11" s="173"/>
      <c r="I11" s="169"/>
    </row>
    <row r="12" spans="1:11" x14ac:dyDescent="0.25">
      <c r="A12" s="165">
        <v>1</v>
      </c>
      <c r="B12" s="183" t="s">
        <v>28</v>
      </c>
      <c r="C12" s="257">
        <f>'Pg3 Rev App. X C10'!C11</f>
        <v>63.508862639043954</v>
      </c>
      <c r="D12" s="176"/>
      <c r="E12" s="257">
        <f>'Pg4 App.X C10-Cost Adj'!C12</f>
        <v>63.508862639043954</v>
      </c>
      <c r="F12" s="176"/>
      <c r="G12" s="176">
        <f>C12-E12</f>
        <v>0</v>
      </c>
      <c r="H12" s="8" t="s">
        <v>29</v>
      </c>
      <c r="I12" s="169">
        <f>A12</f>
        <v>1</v>
      </c>
      <c r="K12" s="21"/>
    </row>
    <row r="13" spans="1:11" x14ac:dyDescent="0.25">
      <c r="A13" s="165">
        <f>A12+1</f>
        <v>2</v>
      </c>
      <c r="B13" s="267"/>
      <c r="C13" s="180"/>
      <c r="D13" s="180"/>
      <c r="E13" s="180"/>
      <c r="F13" s="180"/>
      <c r="G13" s="180"/>
      <c r="H13" s="162"/>
      <c r="I13" s="169">
        <f>I12+1</f>
        <v>2</v>
      </c>
    </row>
    <row r="14" spans="1:11" x14ac:dyDescent="0.25">
      <c r="A14" s="165">
        <f t="shared" ref="A14:A29" si="0">A13+1</f>
        <v>3</v>
      </c>
      <c r="B14" s="183" t="s">
        <v>30</v>
      </c>
      <c r="C14" s="270">
        <f>'Pg3 Rev App. X C10'!C13</f>
        <v>2933.6660841832936</v>
      </c>
      <c r="D14" s="25" t="s">
        <v>31</v>
      </c>
      <c r="E14" s="258">
        <f>'Pg4 App.X C10-Cost Adj'!C14</f>
        <v>2905.1322341461005</v>
      </c>
      <c r="F14" s="157"/>
      <c r="G14" s="260">
        <f>C14-E14</f>
        <v>28.533850037193133</v>
      </c>
      <c r="H14" s="8" t="s">
        <v>32</v>
      </c>
      <c r="I14" s="169">
        <f t="shared" ref="I14:I29" si="1">I13+1</f>
        <v>3</v>
      </c>
      <c r="K14" s="27"/>
    </row>
    <row r="15" spans="1:11" x14ac:dyDescent="0.25">
      <c r="A15" s="165">
        <f t="shared" si="0"/>
        <v>4</v>
      </c>
      <c r="B15" s="267"/>
      <c r="C15" s="180"/>
      <c r="D15" s="180"/>
      <c r="E15" s="180"/>
      <c r="F15" s="180"/>
      <c r="G15" s="180"/>
      <c r="H15" s="182"/>
      <c r="I15" s="169">
        <f t="shared" si="1"/>
        <v>4</v>
      </c>
    </row>
    <row r="16" spans="1:11" x14ac:dyDescent="0.25">
      <c r="A16" s="165">
        <f t="shared" si="0"/>
        <v>5</v>
      </c>
      <c r="B16" s="183" t="s">
        <v>33</v>
      </c>
      <c r="C16" s="670">
        <f>'Pg3 Rev App. X C10'!C15</f>
        <v>874.61355840368606</v>
      </c>
      <c r="D16" s="184"/>
      <c r="E16" s="670">
        <f>'Pg4 App.X C10-Cost Adj'!C16</f>
        <v>874.61355840368606</v>
      </c>
      <c r="F16" s="184"/>
      <c r="G16" s="302">
        <f>C16-E16</f>
        <v>0</v>
      </c>
      <c r="H16" s="8" t="s">
        <v>34</v>
      </c>
      <c r="I16" s="169">
        <f t="shared" si="1"/>
        <v>5</v>
      </c>
      <c r="K16" s="27"/>
    </row>
    <row r="17" spans="1:13" x14ac:dyDescent="0.25">
      <c r="A17" s="165">
        <f t="shared" si="0"/>
        <v>6</v>
      </c>
      <c r="B17" s="185"/>
      <c r="C17" s="184"/>
      <c r="D17" s="184"/>
      <c r="E17" s="184"/>
      <c r="F17" s="184"/>
      <c r="G17" s="184"/>
      <c r="H17" s="177"/>
      <c r="I17" s="169">
        <f t="shared" si="1"/>
        <v>6</v>
      </c>
      <c r="K17" s="27"/>
    </row>
    <row r="18" spans="1:13" x14ac:dyDescent="0.25">
      <c r="A18" s="165">
        <f t="shared" si="0"/>
        <v>7</v>
      </c>
      <c r="B18" s="268" t="s">
        <v>35</v>
      </c>
      <c r="C18" s="271">
        <f>C12+C14+C16+1</f>
        <v>3872.7885052260235</v>
      </c>
      <c r="D18" s="25" t="s">
        <v>31</v>
      </c>
      <c r="E18" s="256">
        <f>E12+E14+E16+1</f>
        <v>3844.2546551888304</v>
      </c>
      <c r="F18" s="157"/>
      <c r="G18" s="271">
        <f>G12+G14+G16</f>
        <v>28.533850037193133</v>
      </c>
      <c r="H18" s="188" t="str">
        <f>"Sum Lines "&amp;A12&amp;", "&amp;A14&amp;", "&amp;A16</f>
        <v>Sum Lines 1, 3, 5</v>
      </c>
      <c r="I18" s="169">
        <f t="shared" si="1"/>
        <v>7</v>
      </c>
      <c r="K18" s="27"/>
    </row>
    <row r="19" spans="1:13" x14ac:dyDescent="0.25">
      <c r="A19" s="165">
        <f t="shared" si="0"/>
        <v>8</v>
      </c>
      <c r="B19" s="185"/>
      <c r="C19" s="180"/>
      <c r="D19" s="180"/>
      <c r="E19" s="180"/>
      <c r="F19" s="180"/>
      <c r="G19" s="180"/>
      <c r="H19" s="190"/>
      <c r="I19" s="169">
        <f t="shared" si="1"/>
        <v>8</v>
      </c>
    </row>
    <row r="20" spans="1:13" x14ac:dyDescent="0.25">
      <c r="A20" s="165">
        <f t="shared" si="0"/>
        <v>9</v>
      </c>
      <c r="B20" s="183" t="s">
        <v>36</v>
      </c>
      <c r="C20" s="270">
        <f>'Pg3 Rev App. X C10'!C19</f>
        <v>1445.8594600894223</v>
      </c>
      <c r="D20" s="25" t="s">
        <v>31</v>
      </c>
      <c r="E20" s="259">
        <f>'Pg4 App.X C10-Cost Adj'!C20</f>
        <v>1416.7889456022599</v>
      </c>
      <c r="F20" s="157"/>
      <c r="G20" s="260">
        <f>C20-E20</f>
        <v>29.070514487162427</v>
      </c>
      <c r="H20" s="8" t="s">
        <v>37</v>
      </c>
      <c r="I20" s="169">
        <f t="shared" si="1"/>
        <v>9</v>
      </c>
    </row>
    <row r="21" spans="1:13" x14ac:dyDescent="0.25">
      <c r="A21" s="165">
        <f t="shared" si="0"/>
        <v>10</v>
      </c>
      <c r="B21" s="183"/>
      <c r="C21" s="180"/>
      <c r="D21" s="180"/>
      <c r="E21" s="180"/>
      <c r="F21" s="180"/>
      <c r="G21" s="180"/>
      <c r="H21" s="191"/>
      <c r="I21" s="169">
        <f t="shared" si="1"/>
        <v>10</v>
      </c>
    </row>
    <row r="22" spans="1:13" x14ac:dyDescent="0.25">
      <c r="A22" s="165">
        <f t="shared" si="0"/>
        <v>11</v>
      </c>
      <c r="B22" s="183" t="s">
        <v>38</v>
      </c>
      <c r="C22" s="670">
        <f>'Pg3 Rev App. X C10'!C21</f>
        <v>106.95449561636043</v>
      </c>
      <c r="D22" s="184"/>
      <c r="E22" s="670">
        <f>'Pg4 App.X C10-Cost Adj'!C22</f>
        <v>106.95449561636043</v>
      </c>
      <c r="F22" s="184"/>
      <c r="G22" s="302">
        <f>C22-E22</f>
        <v>0</v>
      </c>
      <c r="H22" s="8" t="s">
        <v>39</v>
      </c>
      <c r="I22" s="169">
        <f t="shared" si="1"/>
        <v>11</v>
      </c>
    </row>
    <row r="23" spans="1:13" x14ac:dyDescent="0.25">
      <c r="A23" s="165">
        <f t="shared" si="0"/>
        <v>12</v>
      </c>
      <c r="B23" s="185"/>
      <c r="C23" s="193"/>
      <c r="D23" s="193"/>
      <c r="E23" s="193"/>
      <c r="F23" s="193"/>
      <c r="G23" s="193"/>
      <c r="H23" s="188"/>
      <c r="I23" s="169">
        <f t="shared" si="1"/>
        <v>12</v>
      </c>
    </row>
    <row r="24" spans="1:13" x14ac:dyDescent="0.25">
      <c r="A24" s="165">
        <f t="shared" si="0"/>
        <v>13</v>
      </c>
      <c r="B24" s="185" t="s">
        <v>40</v>
      </c>
      <c r="C24" s="78">
        <f>C18+C20+C22</f>
        <v>5425.6024609318065</v>
      </c>
      <c r="D24" s="25" t="s">
        <v>31</v>
      </c>
      <c r="E24" s="34">
        <f>E18+E20+E22</f>
        <v>5367.9980964074512</v>
      </c>
      <c r="F24" s="157"/>
      <c r="G24" s="78">
        <f>G18+G20+G22</f>
        <v>57.60436452435556</v>
      </c>
      <c r="H24" s="188" t="str">
        <f>"Sum Lines "&amp;A18&amp;", "&amp;A20&amp;", "&amp;A22</f>
        <v>Sum Lines 7, 9, 11</v>
      </c>
      <c r="I24" s="169">
        <f t="shared" si="1"/>
        <v>13</v>
      </c>
      <c r="K24" s="27"/>
    </row>
    <row r="25" spans="1:13" x14ac:dyDescent="0.25">
      <c r="A25" s="165">
        <f t="shared" si="0"/>
        <v>14</v>
      </c>
      <c r="B25" s="194"/>
      <c r="C25" s="76"/>
      <c r="D25" s="76"/>
      <c r="E25" s="76"/>
      <c r="F25" s="76"/>
      <c r="G25" s="76"/>
      <c r="H25" s="188"/>
      <c r="I25" s="169">
        <f t="shared" si="1"/>
        <v>14</v>
      </c>
      <c r="K25" s="27"/>
    </row>
    <row r="26" spans="1:13" x14ac:dyDescent="0.25">
      <c r="A26" s="165">
        <f t="shared" si="0"/>
        <v>15</v>
      </c>
      <c r="B26" s="183" t="s">
        <v>41</v>
      </c>
      <c r="C26" s="614">
        <f>'Pg3 Rev App. X C10'!C25</f>
        <v>-108.76044997079637</v>
      </c>
      <c r="D26" s="76"/>
      <c r="E26" s="614">
        <f>'Pg4 App.X C10-Cost Adj'!C26</f>
        <v>-108.76044997079637</v>
      </c>
      <c r="F26" s="76"/>
      <c r="G26" s="301"/>
      <c r="H26" s="8" t="s">
        <v>42</v>
      </c>
      <c r="I26" s="169">
        <f t="shared" si="1"/>
        <v>15</v>
      </c>
      <c r="K26" s="27"/>
    </row>
    <row r="27" spans="1:13" x14ac:dyDescent="0.25">
      <c r="A27" s="165">
        <f t="shared" si="0"/>
        <v>16</v>
      </c>
      <c r="B27" s="163"/>
      <c r="C27" s="196"/>
      <c r="D27" s="196"/>
      <c r="E27" s="196"/>
      <c r="F27" s="196"/>
      <c r="G27" s="196"/>
      <c r="H27" s="188"/>
      <c r="I27" s="169">
        <f t="shared" si="1"/>
        <v>16</v>
      </c>
    </row>
    <row r="28" spans="1:13" ht="16.5" thickBot="1" x14ac:dyDescent="0.3">
      <c r="A28" s="165">
        <f t="shared" si="0"/>
        <v>17</v>
      </c>
      <c r="B28" s="268" t="s">
        <v>43</v>
      </c>
      <c r="C28" s="272">
        <f>C24+C26</f>
        <v>5316.8420109610097</v>
      </c>
      <c r="D28" s="25" t="s">
        <v>31</v>
      </c>
      <c r="E28" s="261">
        <f>E24+E26</f>
        <v>5259.2376464366544</v>
      </c>
      <c r="F28" s="157"/>
      <c r="G28" s="262">
        <f>C28-E28</f>
        <v>57.604364524355333</v>
      </c>
      <c r="H28" s="188" t="str">
        <f>"Line "&amp;A24&amp;" + Line "&amp;A26</f>
        <v>Line 13 + Line 15</v>
      </c>
      <c r="I28" s="169">
        <f t="shared" si="1"/>
        <v>17</v>
      </c>
      <c r="L28" s="21"/>
      <c r="M28" s="198"/>
    </row>
    <row r="29" spans="1:13" ht="17.25" thickTop="1" thickBot="1" x14ac:dyDescent="0.3">
      <c r="A29" s="165">
        <f t="shared" si="0"/>
        <v>18</v>
      </c>
      <c r="B29" s="164"/>
      <c r="C29" s="273"/>
      <c r="D29" s="164"/>
      <c r="E29" s="164"/>
      <c r="F29" s="164"/>
      <c r="G29" s="164"/>
      <c r="H29" s="164"/>
      <c r="I29" s="169">
        <f t="shared" si="1"/>
        <v>18</v>
      </c>
    </row>
    <row r="31" spans="1:13" ht="16.5" thickBot="1" x14ac:dyDescent="0.3">
      <c r="A31" s="161"/>
      <c r="B31" s="201"/>
      <c r="C31" s="202"/>
      <c r="D31" s="202"/>
      <c r="E31" s="202"/>
      <c r="F31" s="202"/>
      <c r="G31" s="202"/>
      <c r="H31" s="202"/>
      <c r="I31" s="161"/>
    </row>
    <row r="32" spans="1:13" ht="47.25" x14ac:dyDescent="0.25">
      <c r="A32" s="634" t="s">
        <v>4</v>
      </c>
      <c r="B32" s="162"/>
      <c r="C32" s="275" t="str">
        <f>C9</f>
        <v>Revised - Appendix X Cycle 10</v>
      </c>
      <c r="D32" s="162"/>
      <c r="E32" s="274" t="str">
        <f>E9</f>
        <v>As Filed - Appendix X Cycle 10 ER22-139 and ER23-109</v>
      </c>
      <c r="F32" s="162"/>
      <c r="G32" s="162" t="str">
        <f>G9</f>
        <v>Difference</v>
      </c>
      <c r="H32" s="162"/>
      <c r="I32" s="635" t="s">
        <v>4</v>
      </c>
    </row>
    <row r="33" spans="1:9" x14ac:dyDescent="0.25">
      <c r="A33" s="165" t="s">
        <v>5</v>
      </c>
      <c r="B33" s="372" t="s">
        <v>44</v>
      </c>
      <c r="C33" s="372" t="str">
        <f>C10</f>
        <v>Amounts</v>
      </c>
      <c r="D33" s="372"/>
      <c r="E33" s="372" t="str">
        <f>E10</f>
        <v>Amounts</v>
      </c>
      <c r="F33" s="372"/>
      <c r="G33" s="372" t="str">
        <f>G10</f>
        <v>Incr (Decr)</v>
      </c>
      <c r="H33" s="372" t="str">
        <f>H10</f>
        <v>Reference</v>
      </c>
      <c r="I33" s="169" t="s">
        <v>5</v>
      </c>
    </row>
    <row r="34" spans="1:9" x14ac:dyDescent="0.25">
      <c r="A34" s="165">
        <f>A29+1</f>
        <v>19</v>
      </c>
      <c r="B34" s="163"/>
      <c r="C34" s="173"/>
      <c r="D34" s="172"/>
      <c r="E34" s="172"/>
      <c r="F34" s="172"/>
      <c r="G34" s="172"/>
      <c r="H34" s="173"/>
      <c r="I34" s="169">
        <f>I29+1</f>
        <v>19</v>
      </c>
    </row>
    <row r="35" spans="1:9" x14ac:dyDescent="0.25">
      <c r="A35" s="165">
        <f>A34+1</f>
        <v>20</v>
      </c>
      <c r="B35" s="183" t="str">
        <f>B12</f>
        <v>Section 1 - Direct Maintenance Expense Cost Component</v>
      </c>
      <c r="C35" s="206">
        <f>'Pg3 Rev App. X C10'!C34</f>
        <v>5.2924052199203295</v>
      </c>
      <c r="D35" s="206"/>
      <c r="E35" s="206">
        <f>'Pg4 App.X C10-Cost Adj'!C35</f>
        <v>5.2924052199203295</v>
      </c>
      <c r="F35" s="206"/>
      <c r="G35" s="206">
        <f>C35-E35</f>
        <v>0</v>
      </c>
      <c r="H35" s="8" t="s">
        <v>45</v>
      </c>
      <c r="I35" s="169">
        <f>I34+1</f>
        <v>20</v>
      </c>
    </row>
    <row r="36" spans="1:9" x14ac:dyDescent="0.25">
      <c r="A36" s="165">
        <f t="shared" ref="A36:A54" si="2">A35+1</f>
        <v>21</v>
      </c>
      <c r="B36" s="267"/>
      <c r="C36" s="208"/>
      <c r="D36" s="208"/>
      <c r="E36" s="208"/>
      <c r="F36" s="208"/>
      <c r="G36" s="208"/>
      <c r="H36" s="209"/>
      <c r="I36" s="169">
        <f t="shared" ref="I36:I54" si="3">I35+1</f>
        <v>21</v>
      </c>
    </row>
    <row r="37" spans="1:9" x14ac:dyDescent="0.25">
      <c r="A37" s="165">
        <f t="shared" si="2"/>
        <v>22</v>
      </c>
      <c r="B37" s="183" t="str">
        <f>B14</f>
        <v>Section 2 - Non-Direct Expense Cost Component</v>
      </c>
      <c r="C37" s="276">
        <f>'Pg3 Rev App. X C10'!C36</f>
        <v>244.47217368194114</v>
      </c>
      <c r="D37" s="25" t="s">
        <v>31</v>
      </c>
      <c r="E37" s="281">
        <f>'Pg4 App.X C10-Cost Adj'!C37</f>
        <v>242.09435284550838</v>
      </c>
      <c r="F37" s="157"/>
      <c r="G37" s="613">
        <f>C37-E37</f>
        <v>2.3778208364327611</v>
      </c>
      <c r="H37" s="8" t="s">
        <v>46</v>
      </c>
      <c r="I37" s="169">
        <f t="shared" si="3"/>
        <v>22</v>
      </c>
    </row>
    <row r="38" spans="1:9" x14ac:dyDescent="0.25">
      <c r="A38" s="165">
        <f t="shared" si="2"/>
        <v>23</v>
      </c>
      <c r="B38" s="267"/>
      <c r="C38" s="277"/>
      <c r="D38" s="212"/>
      <c r="E38" s="212"/>
      <c r="F38" s="212"/>
      <c r="G38" s="212"/>
      <c r="H38" s="213"/>
      <c r="I38" s="169">
        <f t="shared" si="3"/>
        <v>23</v>
      </c>
    </row>
    <row r="39" spans="1:9" x14ac:dyDescent="0.25">
      <c r="A39" s="165">
        <f t="shared" si="2"/>
        <v>24</v>
      </c>
      <c r="B39" s="183" t="str">
        <f>B16</f>
        <v>Section 3 - Cost Component Containing Other Specific Expenses</v>
      </c>
      <c r="C39" s="671">
        <f>'Pg3 Rev App. X C10'!C38</f>
        <v>72.884463200307167</v>
      </c>
      <c r="D39" s="214"/>
      <c r="E39" s="671">
        <f>'Pg4 App.X C10-Cost Adj'!C39</f>
        <v>72.884463200307167</v>
      </c>
      <c r="F39" s="214"/>
      <c r="G39" s="671">
        <f>C39-E39</f>
        <v>0</v>
      </c>
      <c r="H39" s="8" t="s">
        <v>47</v>
      </c>
      <c r="I39" s="169">
        <f t="shared" si="3"/>
        <v>24</v>
      </c>
    </row>
    <row r="40" spans="1:9" x14ac:dyDescent="0.25">
      <c r="A40" s="165">
        <f t="shared" si="2"/>
        <v>25</v>
      </c>
      <c r="B40" s="185"/>
      <c r="C40" s="212"/>
      <c r="D40" s="212"/>
      <c r="E40" s="212"/>
      <c r="F40" s="212"/>
      <c r="G40" s="212"/>
      <c r="H40" s="177"/>
      <c r="I40" s="169">
        <f t="shared" si="3"/>
        <v>25</v>
      </c>
    </row>
    <row r="41" spans="1:9" x14ac:dyDescent="0.25">
      <c r="A41" s="165">
        <f t="shared" si="2"/>
        <v>26</v>
      </c>
      <c r="B41" s="268" t="s">
        <v>48</v>
      </c>
      <c r="C41" s="278">
        <f>C18/12</f>
        <v>322.73237543550198</v>
      </c>
      <c r="D41" s="25" t="s">
        <v>31</v>
      </c>
      <c r="E41" s="284">
        <f>E18/12</f>
        <v>320.35455459906922</v>
      </c>
      <c r="F41" s="157"/>
      <c r="G41" s="797">
        <f>C41-E41</f>
        <v>2.3778208364327611</v>
      </c>
      <c r="H41" s="188" t="str">
        <f>"Sum Lines "&amp;A35&amp;", "&amp;A37&amp;", "&amp;A39</f>
        <v>Sum Lines 20, 22, 24</v>
      </c>
      <c r="I41" s="169">
        <f t="shared" si="3"/>
        <v>26</v>
      </c>
    </row>
    <row r="42" spans="1:9" x14ac:dyDescent="0.25">
      <c r="A42" s="165">
        <f t="shared" si="2"/>
        <v>27</v>
      </c>
      <c r="B42" s="163"/>
      <c r="C42" s="277"/>
      <c r="D42" s="212"/>
      <c r="E42" s="212"/>
      <c r="F42" s="212"/>
      <c r="G42" s="212"/>
      <c r="H42" s="182"/>
      <c r="I42" s="169">
        <f t="shared" si="3"/>
        <v>27</v>
      </c>
    </row>
    <row r="43" spans="1:9" x14ac:dyDescent="0.25">
      <c r="A43" s="165">
        <f t="shared" si="2"/>
        <v>28</v>
      </c>
      <c r="B43" s="183" t="str">
        <f>LEFT(B20,45)</f>
        <v>Section 4 - True-Up Adjustment Cost Component</v>
      </c>
      <c r="C43" s="276">
        <f>'Pg3 Rev App. X C10'!C42</f>
        <v>120.48828834078519</v>
      </c>
      <c r="D43" s="25" t="s">
        <v>31</v>
      </c>
      <c r="E43" s="282">
        <f>'Pg4 App.X C10-Cost Adj'!C43</f>
        <v>118.06574546685499</v>
      </c>
      <c r="F43" s="157"/>
      <c r="G43" s="613">
        <f>C43-E43</f>
        <v>2.4225428739301975</v>
      </c>
      <c r="H43" s="8" t="s">
        <v>49</v>
      </c>
      <c r="I43" s="169">
        <f t="shared" si="3"/>
        <v>28</v>
      </c>
    </row>
    <row r="44" spans="1:9" x14ac:dyDescent="0.25">
      <c r="A44" s="165">
        <f t="shared" si="2"/>
        <v>29</v>
      </c>
      <c r="B44" s="183"/>
      <c r="C44" s="277"/>
      <c r="D44" s="212"/>
      <c r="E44" s="212"/>
      <c r="F44" s="212"/>
      <c r="G44" s="212"/>
      <c r="H44" s="216"/>
      <c r="I44" s="169">
        <f t="shared" si="3"/>
        <v>29</v>
      </c>
    </row>
    <row r="45" spans="1:9" x14ac:dyDescent="0.25">
      <c r="A45" s="165">
        <f t="shared" si="2"/>
        <v>30</v>
      </c>
      <c r="B45" s="183" t="str">
        <f>B22</f>
        <v>Section 5 - Interest True-Up Adjustment Cost Component</v>
      </c>
      <c r="C45" s="214">
        <f>'Pg3 Rev App. X C10'!C44</f>
        <v>8.9128746346967027</v>
      </c>
      <c r="D45" s="214"/>
      <c r="E45" s="214">
        <f>'Pg4 App.X C10-Cost Adj'!C45</f>
        <v>8.9128746346967027</v>
      </c>
      <c r="F45" s="214"/>
      <c r="G45" s="214">
        <f>C45-E45</f>
        <v>0</v>
      </c>
      <c r="H45" s="8" t="s">
        <v>50</v>
      </c>
      <c r="I45" s="169">
        <f t="shared" si="3"/>
        <v>30</v>
      </c>
    </row>
    <row r="46" spans="1:9" x14ac:dyDescent="0.25">
      <c r="A46" s="165">
        <f t="shared" si="2"/>
        <v>31</v>
      </c>
      <c r="B46" s="185"/>
      <c r="C46" s="29"/>
      <c r="D46" s="28"/>
      <c r="E46" s="28"/>
      <c r="F46" s="28"/>
      <c r="G46" s="28"/>
      <c r="H46" s="218"/>
      <c r="I46" s="169">
        <f t="shared" si="3"/>
        <v>31</v>
      </c>
    </row>
    <row r="47" spans="1:9" x14ac:dyDescent="0.25">
      <c r="A47" s="165">
        <f t="shared" si="2"/>
        <v>32</v>
      </c>
      <c r="B47" s="183" t="str">
        <f>B26</f>
        <v>Other Adjustments</v>
      </c>
      <c r="C47" s="671">
        <f>'Pg3 Rev App. X C10'!C46</f>
        <v>-9.0633708308996983</v>
      </c>
      <c r="D47" s="214"/>
      <c r="E47" s="671">
        <f>'Pg4 App.X C10-Cost Adj'!C47</f>
        <v>-9.0633708308996983</v>
      </c>
      <c r="F47" s="214"/>
      <c r="G47" s="671">
        <f>C47-E47</f>
        <v>0</v>
      </c>
      <c r="H47" s="8" t="s">
        <v>51</v>
      </c>
      <c r="I47" s="169">
        <f t="shared" si="3"/>
        <v>32</v>
      </c>
    </row>
    <row r="48" spans="1:9" x14ac:dyDescent="0.25">
      <c r="A48" s="165">
        <f t="shared" si="2"/>
        <v>33</v>
      </c>
      <c r="B48" s="185"/>
      <c r="C48" s="29"/>
      <c r="D48" s="28"/>
      <c r="E48" s="28"/>
      <c r="F48" s="28"/>
      <c r="G48" s="28"/>
      <c r="H48" s="218"/>
      <c r="I48" s="169">
        <f t="shared" si="3"/>
        <v>33</v>
      </c>
    </row>
    <row r="49" spans="1:9" x14ac:dyDescent="0.25">
      <c r="A49" s="165">
        <f t="shared" si="2"/>
        <v>34</v>
      </c>
      <c r="B49" s="185" t="s">
        <v>52</v>
      </c>
      <c r="C49" s="279">
        <f>C41+C43+C45+C47</f>
        <v>443.07016758008416</v>
      </c>
      <c r="D49" s="25" t="s">
        <v>31</v>
      </c>
      <c r="E49" s="283">
        <f>E41+E43+E45+E47</f>
        <v>438.26980386972122</v>
      </c>
      <c r="F49" s="157"/>
      <c r="G49" s="279">
        <f>G41+G43+G45+G47</f>
        <v>4.8003637103629586</v>
      </c>
      <c r="H49" s="188" t="str">
        <f>"Sum Lines "&amp;A41&amp;", "&amp;A43&amp;", "&amp;A45&amp;", "&amp;A47</f>
        <v>Sum Lines 26, 28, 30, 32</v>
      </c>
      <c r="I49" s="169">
        <f t="shared" si="3"/>
        <v>34</v>
      </c>
    </row>
    <row r="50" spans="1:9" x14ac:dyDescent="0.25">
      <c r="A50" s="165">
        <f t="shared" si="2"/>
        <v>35</v>
      </c>
      <c r="B50" s="163"/>
      <c r="C50" s="280"/>
      <c r="D50" s="220"/>
      <c r="E50" s="220"/>
      <c r="F50" s="220"/>
      <c r="G50" s="220"/>
      <c r="H50" s="221"/>
      <c r="I50" s="169">
        <f t="shared" si="3"/>
        <v>35</v>
      </c>
    </row>
    <row r="51" spans="1:9" x14ac:dyDescent="0.25">
      <c r="A51" s="165">
        <f t="shared" si="2"/>
        <v>36</v>
      </c>
      <c r="B51" s="267" t="s">
        <v>15</v>
      </c>
      <c r="C51" s="672">
        <f>'Pg3 Rev App. X C10'!C50</f>
        <v>12</v>
      </c>
      <c r="D51" s="222"/>
      <c r="E51" s="672">
        <f>'Pg4 App.X C10-Cost Adj'!C51</f>
        <v>12</v>
      </c>
      <c r="F51" s="222"/>
      <c r="G51" s="673">
        <f>C51-E51</f>
        <v>0</v>
      </c>
      <c r="H51" s="8" t="s">
        <v>53</v>
      </c>
      <c r="I51" s="169">
        <f t="shared" si="3"/>
        <v>36</v>
      </c>
    </row>
    <row r="52" spans="1:9" x14ac:dyDescent="0.25">
      <c r="A52" s="165">
        <f t="shared" si="2"/>
        <v>37</v>
      </c>
      <c r="B52" s="163"/>
      <c r="C52" s="280"/>
      <c r="D52" s="220"/>
      <c r="E52" s="220"/>
      <c r="F52" s="220"/>
      <c r="G52" s="220"/>
      <c r="H52" s="223"/>
      <c r="I52" s="169">
        <f t="shared" si="3"/>
        <v>37</v>
      </c>
    </row>
    <row r="53" spans="1:9" ht="16.5" thickBot="1" x14ac:dyDescent="0.3">
      <c r="A53" s="165">
        <f t="shared" si="2"/>
        <v>38</v>
      </c>
      <c r="B53" s="268" t="str">
        <f>B28</f>
        <v>Total Annual Costs</v>
      </c>
      <c r="C53" s="286">
        <f>C49*C51</f>
        <v>5316.8420109610097</v>
      </c>
      <c r="D53" s="25" t="s">
        <v>31</v>
      </c>
      <c r="E53" s="286">
        <f>E49*E51</f>
        <v>5259.2376464366544</v>
      </c>
      <c r="F53" s="157"/>
      <c r="G53" s="262">
        <f>C53-E53</f>
        <v>57.604364524355333</v>
      </c>
      <c r="H53" s="8" t="s">
        <v>54</v>
      </c>
      <c r="I53" s="169">
        <f t="shared" si="3"/>
        <v>38</v>
      </c>
    </row>
    <row r="54" spans="1:9" ht="17.25" thickTop="1" thickBot="1" x14ac:dyDescent="0.3">
      <c r="A54" s="165">
        <f t="shared" si="2"/>
        <v>39</v>
      </c>
      <c r="B54" s="164"/>
      <c r="C54" s="285"/>
      <c r="D54" s="225"/>
      <c r="E54" s="225"/>
      <c r="F54" s="225"/>
      <c r="G54" s="225"/>
      <c r="H54" s="226"/>
      <c r="I54" s="169">
        <f t="shared" si="3"/>
        <v>39</v>
      </c>
    </row>
    <row r="57" spans="1:9" x14ac:dyDescent="0.25">
      <c r="A57" s="25" t="s">
        <v>31</v>
      </c>
      <c r="B57" s="23" t="s">
        <v>627</v>
      </c>
    </row>
    <row r="58" spans="1:9" x14ac:dyDescent="0.25">
      <c r="B58" s="23" t="s">
        <v>626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7" orientation="portrait" r:id="rId1"/>
  <headerFooter scaleWithDoc="0" alignWithMargins="0">
    <oddFooter>&amp;L&amp;F&amp;CPage 2&amp;R&amp;A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L73"/>
  <sheetViews>
    <sheetView zoomScale="80" zoomScaleNormal="80" workbookViewId="0"/>
  </sheetViews>
  <sheetFormatPr defaultColWidth="9.140625" defaultRowHeight="15.75" x14ac:dyDescent="0.25"/>
  <cols>
    <col min="1" max="1" width="5.140625" style="525" customWidth="1"/>
    <col min="2" max="2" width="12.5703125" style="615" customWidth="1"/>
    <col min="3" max="3" width="20" style="615" customWidth="1"/>
    <col min="4" max="8" width="21.5703125" style="615" customWidth="1"/>
    <col min="9" max="9" width="5.140625" style="525" customWidth="1"/>
    <col min="10" max="10" width="13.5703125" style="615" customWidth="1"/>
    <col min="11" max="11" width="12.5703125" style="615" customWidth="1"/>
    <col min="12" max="16384" width="9.140625" style="615"/>
  </cols>
  <sheetData>
    <row r="1" spans="1:9" x14ac:dyDescent="0.25">
      <c r="D1" s="616"/>
    </row>
    <row r="2" spans="1:9" x14ac:dyDescent="0.25">
      <c r="B2" s="823" t="s">
        <v>19</v>
      </c>
      <c r="C2" s="823"/>
      <c r="D2" s="823"/>
      <c r="E2" s="823"/>
      <c r="F2" s="823"/>
      <c r="G2" s="823"/>
      <c r="H2" s="823"/>
      <c r="I2" s="617"/>
    </row>
    <row r="3" spans="1:9" x14ac:dyDescent="0.25">
      <c r="B3" s="823" t="s">
        <v>20</v>
      </c>
      <c r="C3" s="823"/>
      <c r="D3" s="823"/>
      <c r="E3" s="823"/>
      <c r="F3" s="823"/>
      <c r="G3" s="823"/>
      <c r="H3" s="823"/>
      <c r="I3" s="617"/>
    </row>
    <row r="4" spans="1:9" x14ac:dyDescent="0.25">
      <c r="B4" s="824" t="s">
        <v>594</v>
      </c>
      <c r="C4" s="824"/>
      <c r="D4" s="824"/>
      <c r="E4" s="824"/>
      <c r="F4" s="824"/>
      <c r="G4" s="824"/>
      <c r="H4" s="824"/>
      <c r="I4" s="617"/>
    </row>
    <row r="5" spans="1:9" x14ac:dyDescent="0.25">
      <c r="B5" s="824" t="s">
        <v>575</v>
      </c>
      <c r="C5" s="824"/>
      <c r="D5" s="824"/>
      <c r="E5" s="824"/>
      <c r="F5" s="824"/>
      <c r="G5" s="824"/>
      <c r="H5" s="824"/>
      <c r="I5" s="617"/>
    </row>
    <row r="6" spans="1:9" x14ac:dyDescent="0.25">
      <c r="B6" s="825" t="s">
        <v>3</v>
      </c>
      <c r="C6" s="825"/>
      <c r="D6" s="825"/>
      <c r="E6" s="825"/>
      <c r="F6" s="825"/>
      <c r="G6" s="825"/>
      <c r="H6" s="825"/>
      <c r="I6" s="617"/>
    </row>
    <row r="7" spans="1:9" x14ac:dyDescent="0.25">
      <c r="A7" s="617"/>
      <c r="B7" s="617"/>
      <c r="C7" s="617"/>
      <c r="D7" s="617"/>
      <c r="E7" s="617"/>
      <c r="F7" s="617"/>
      <c r="G7" s="617"/>
      <c r="H7" s="617"/>
      <c r="I7" s="617"/>
    </row>
    <row r="8" spans="1:9" x14ac:dyDescent="0.25">
      <c r="A8" s="36" t="s">
        <v>4</v>
      </c>
      <c r="B8" s="53"/>
      <c r="I8" s="36" t="s">
        <v>4</v>
      </c>
    </row>
    <row r="9" spans="1:9" x14ac:dyDescent="0.25">
      <c r="A9" s="313" t="s">
        <v>5</v>
      </c>
      <c r="B9" s="53"/>
      <c r="I9" s="313" t="s">
        <v>5</v>
      </c>
    </row>
    <row r="10" spans="1:9" x14ac:dyDescent="0.25">
      <c r="A10" s="36">
        <v>1</v>
      </c>
      <c r="C10" s="290" t="s">
        <v>140</v>
      </c>
      <c r="D10" s="290" t="s">
        <v>141</v>
      </c>
      <c r="E10" s="290" t="s">
        <v>142</v>
      </c>
      <c r="F10" s="290" t="s">
        <v>143</v>
      </c>
      <c r="G10" s="290" t="s">
        <v>144</v>
      </c>
      <c r="H10" s="290" t="s">
        <v>145</v>
      </c>
      <c r="I10" s="36">
        <v>1</v>
      </c>
    </row>
    <row r="11" spans="1:9" x14ac:dyDescent="0.25">
      <c r="A11" s="36">
        <f t="shared" ref="A11:A66" si="0">A10+1</f>
        <v>2</v>
      </c>
      <c r="B11" s="618" t="s">
        <v>151</v>
      </c>
      <c r="C11" s="36"/>
      <c r="D11" s="68" t="s">
        <v>576</v>
      </c>
      <c r="E11" s="36"/>
      <c r="F11" s="36" t="s">
        <v>577</v>
      </c>
      <c r="G11" s="36" t="s">
        <v>578</v>
      </c>
      <c r="H11" s="68" t="s">
        <v>579</v>
      </c>
      <c r="I11" s="36">
        <f t="shared" ref="I11:I66" si="1">I10+1</f>
        <v>2</v>
      </c>
    </row>
    <row r="12" spans="1:9" x14ac:dyDescent="0.25">
      <c r="A12" s="36">
        <f t="shared" si="0"/>
        <v>3</v>
      </c>
      <c r="B12" s="618"/>
      <c r="C12" s="36"/>
      <c r="D12" s="68"/>
      <c r="E12" s="36"/>
      <c r="F12" s="36"/>
      <c r="G12" s="36"/>
      <c r="H12" s="68"/>
      <c r="I12" s="36">
        <f t="shared" si="1"/>
        <v>3</v>
      </c>
    </row>
    <row r="13" spans="1:9" x14ac:dyDescent="0.25">
      <c r="A13" s="36">
        <f t="shared" si="0"/>
        <v>4</v>
      </c>
      <c r="C13" s="290"/>
      <c r="F13" s="369" t="s">
        <v>152</v>
      </c>
      <c r="H13" s="369" t="s">
        <v>152</v>
      </c>
      <c r="I13" s="36">
        <f t="shared" si="1"/>
        <v>4</v>
      </c>
    </row>
    <row r="14" spans="1:9" x14ac:dyDescent="0.25">
      <c r="A14" s="36">
        <f t="shared" si="0"/>
        <v>5</v>
      </c>
      <c r="C14" s="290"/>
      <c r="D14" s="369" t="s">
        <v>153</v>
      </c>
      <c r="E14" s="369"/>
      <c r="F14" s="369" t="s">
        <v>154</v>
      </c>
      <c r="H14" s="369" t="s">
        <v>154</v>
      </c>
      <c r="I14" s="36">
        <f t="shared" si="1"/>
        <v>5</v>
      </c>
    </row>
    <row r="15" spans="1:9" x14ac:dyDescent="0.25">
      <c r="A15" s="36">
        <f t="shared" si="0"/>
        <v>6</v>
      </c>
      <c r="C15" s="369"/>
      <c r="D15" s="369" t="s">
        <v>154</v>
      </c>
      <c r="E15" s="369" t="s">
        <v>153</v>
      </c>
      <c r="F15" s="369" t="s">
        <v>157</v>
      </c>
      <c r="H15" s="369" t="s">
        <v>157</v>
      </c>
      <c r="I15" s="36">
        <f t="shared" si="1"/>
        <v>6</v>
      </c>
    </row>
    <row r="16" spans="1:9" x14ac:dyDescent="0.25">
      <c r="A16" s="36">
        <f t="shared" si="0"/>
        <v>7</v>
      </c>
      <c r="C16" s="369"/>
      <c r="D16" s="369" t="s">
        <v>157</v>
      </c>
      <c r="E16" s="369" t="s">
        <v>160</v>
      </c>
      <c r="F16" s="369" t="s">
        <v>161</v>
      </c>
      <c r="G16" s="369"/>
      <c r="H16" s="369" t="s">
        <v>161</v>
      </c>
      <c r="I16" s="36">
        <f t="shared" si="1"/>
        <v>7</v>
      </c>
    </row>
    <row r="17" spans="1:12" ht="18.75" x14ac:dyDescent="0.25">
      <c r="A17" s="36">
        <f t="shared" si="0"/>
        <v>8</v>
      </c>
      <c r="B17" s="674" t="s">
        <v>162</v>
      </c>
      <c r="C17" s="674" t="s">
        <v>163</v>
      </c>
      <c r="D17" s="675" t="s">
        <v>161</v>
      </c>
      <c r="E17" s="675" t="s">
        <v>580</v>
      </c>
      <c r="F17" s="675" t="s">
        <v>170</v>
      </c>
      <c r="G17" s="676" t="s">
        <v>160</v>
      </c>
      <c r="H17" s="675" t="s">
        <v>171</v>
      </c>
      <c r="I17" s="36">
        <f t="shared" si="1"/>
        <v>8</v>
      </c>
    </row>
    <row r="18" spans="1:12" x14ac:dyDescent="0.25">
      <c r="A18" s="36">
        <f t="shared" si="0"/>
        <v>9</v>
      </c>
      <c r="B18" s="96" t="s">
        <v>172</v>
      </c>
      <c r="C18" s="292">
        <v>2020</v>
      </c>
      <c r="D18" s="779">
        <f>'Pg2 Appendix X C10 Comparison'!G28/12</f>
        <v>4.8003637103629444</v>
      </c>
      <c r="E18" s="620">
        <v>4.1999999999999997E-3</v>
      </c>
      <c r="F18" s="780">
        <f>D18</f>
        <v>4.8003637103629444</v>
      </c>
      <c r="G18" s="759">
        <f>(D18/2)*E18</f>
        <v>1.0080763791762183E-2</v>
      </c>
      <c r="H18" s="785">
        <f t="shared" ref="H18:H65" si="2">F18+G18</f>
        <v>4.810444474154707</v>
      </c>
      <c r="I18" s="36">
        <f t="shared" si="1"/>
        <v>9</v>
      </c>
      <c r="J18" s="621"/>
    </row>
    <row r="19" spans="1:12" x14ac:dyDescent="0.25">
      <c r="A19" s="36">
        <f t="shared" si="0"/>
        <v>10</v>
      </c>
      <c r="B19" s="96" t="s">
        <v>173</v>
      </c>
      <c r="C19" s="292">
        <f>C18</f>
        <v>2020</v>
      </c>
      <c r="D19" s="619">
        <f>D18</f>
        <v>4.8003637103629444</v>
      </c>
      <c r="E19" s="620">
        <v>3.8999999999999998E-3</v>
      </c>
      <c r="F19" s="781">
        <f>H18+D19</f>
        <v>9.6108081845176514</v>
      </c>
      <c r="G19" s="760">
        <f t="shared" ref="G19:G65" si="3">(H18+F19)/2*E19</f>
        <v>2.8121442684411097E-2</v>
      </c>
      <c r="H19" s="786">
        <f t="shared" si="2"/>
        <v>9.6389296272020619</v>
      </c>
      <c r="I19" s="36">
        <f t="shared" si="1"/>
        <v>10</v>
      </c>
      <c r="J19" s="622"/>
    </row>
    <row r="20" spans="1:12" x14ac:dyDescent="0.25">
      <c r="A20" s="36">
        <f t="shared" si="0"/>
        <v>11</v>
      </c>
      <c r="B20" s="96" t="s">
        <v>174</v>
      </c>
      <c r="C20" s="292">
        <f t="shared" ref="C20:D29" si="4">C19</f>
        <v>2020</v>
      </c>
      <c r="D20" s="619">
        <f t="shared" si="4"/>
        <v>4.8003637103629444</v>
      </c>
      <c r="E20" s="620">
        <v>4.1999999999999997E-3</v>
      </c>
      <c r="F20" s="781">
        <f>H19+D20</f>
        <v>14.439293337565006</v>
      </c>
      <c r="G20" s="760">
        <f>(H19+F20)/2*E20</f>
        <v>5.0564268226010838E-2</v>
      </c>
      <c r="H20" s="786">
        <f t="shared" si="2"/>
        <v>14.489857605791018</v>
      </c>
      <c r="I20" s="36">
        <f t="shared" si="1"/>
        <v>11</v>
      </c>
      <c r="J20" s="622"/>
    </row>
    <row r="21" spans="1:12" x14ac:dyDescent="0.25">
      <c r="A21" s="36">
        <f t="shared" si="0"/>
        <v>12</v>
      </c>
      <c r="B21" s="96" t="s">
        <v>175</v>
      </c>
      <c r="C21" s="292">
        <f t="shared" si="4"/>
        <v>2020</v>
      </c>
      <c r="D21" s="619">
        <f t="shared" si="4"/>
        <v>4.8003637103629444</v>
      </c>
      <c r="E21" s="620">
        <v>3.8999999999999998E-3</v>
      </c>
      <c r="F21" s="781">
        <f>H20+D21</f>
        <v>19.290221316153961</v>
      </c>
      <c r="G21" s="760">
        <f>(H20+F21)/2*E21</f>
        <v>6.5871153897792703E-2</v>
      </c>
      <c r="H21" s="786">
        <f t="shared" si="2"/>
        <v>19.356092470051752</v>
      </c>
      <c r="I21" s="36">
        <f t="shared" si="1"/>
        <v>12</v>
      </c>
      <c r="J21" s="622"/>
      <c r="L21" s="623"/>
    </row>
    <row r="22" spans="1:12" x14ac:dyDescent="0.25">
      <c r="A22" s="36">
        <f t="shared" si="0"/>
        <v>13</v>
      </c>
      <c r="B22" s="96" t="s">
        <v>176</v>
      </c>
      <c r="C22" s="292">
        <f t="shared" si="4"/>
        <v>2020</v>
      </c>
      <c r="D22" s="619">
        <f t="shared" si="4"/>
        <v>4.8003637103629444</v>
      </c>
      <c r="E22" s="620">
        <v>4.0000000000000001E-3</v>
      </c>
      <c r="F22" s="781">
        <f t="shared" ref="F22:F65" si="5">H21+D22</f>
        <v>24.156456180414697</v>
      </c>
      <c r="G22" s="760">
        <f t="shared" si="3"/>
        <v>8.7025097300932899E-2</v>
      </c>
      <c r="H22" s="786">
        <f t="shared" si="2"/>
        <v>24.243481277715631</v>
      </c>
      <c r="I22" s="36">
        <f t="shared" si="1"/>
        <v>13</v>
      </c>
      <c r="J22" s="622"/>
    </row>
    <row r="23" spans="1:12" x14ac:dyDescent="0.25">
      <c r="A23" s="36">
        <f t="shared" si="0"/>
        <v>14</v>
      </c>
      <c r="B23" s="96" t="s">
        <v>177</v>
      </c>
      <c r="C23" s="292">
        <f t="shared" si="4"/>
        <v>2020</v>
      </c>
      <c r="D23" s="619">
        <f t="shared" si="4"/>
        <v>4.8003637103629444</v>
      </c>
      <c r="E23" s="620">
        <v>3.8999999999999998E-3</v>
      </c>
      <c r="F23" s="781">
        <f t="shared" si="5"/>
        <v>29.043844988078575</v>
      </c>
      <c r="G23" s="760">
        <f>(H22+F23)/2*E23</f>
        <v>0.1039102862182987</v>
      </c>
      <c r="H23" s="786">
        <f t="shared" si="2"/>
        <v>29.147755274296873</v>
      </c>
      <c r="I23" s="36">
        <f t="shared" si="1"/>
        <v>14</v>
      </c>
      <c r="J23" s="622"/>
    </row>
    <row r="24" spans="1:12" x14ac:dyDescent="0.25">
      <c r="A24" s="36">
        <f t="shared" si="0"/>
        <v>15</v>
      </c>
      <c r="B24" s="96" t="s">
        <v>178</v>
      </c>
      <c r="C24" s="292">
        <f t="shared" si="4"/>
        <v>2020</v>
      </c>
      <c r="D24" s="619">
        <f t="shared" si="4"/>
        <v>4.8003637103629444</v>
      </c>
      <c r="E24" s="620">
        <v>2.8999999999999998E-3</v>
      </c>
      <c r="F24" s="781">
        <f t="shared" si="5"/>
        <v>33.948118984659814</v>
      </c>
      <c r="G24" s="760">
        <f t="shared" si="3"/>
        <v>9.1489017675487186E-2</v>
      </c>
      <c r="H24" s="786">
        <f t="shared" si="2"/>
        <v>34.039608002335299</v>
      </c>
      <c r="I24" s="36">
        <f t="shared" si="1"/>
        <v>15</v>
      </c>
      <c r="J24" s="622"/>
    </row>
    <row r="25" spans="1:12" x14ac:dyDescent="0.25">
      <c r="A25" s="36">
        <f t="shared" si="0"/>
        <v>16</v>
      </c>
      <c r="B25" s="96" t="s">
        <v>179</v>
      </c>
      <c r="C25" s="292">
        <f t="shared" si="4"/>
        <v>2020</v>
      </c>
      <c r="D25" s="619">
        <f t="shared" si="4"/>
        <v>4.8003637103629444</v>
      </c>
      <c r="E25" s="620">
        <v>2.8999999999999998E-3</v>
      </c>
      <c r="F25" s="781">
        <f t="shared" si="5"/>
        <v>38.839971712698244</v>
      </c>
      <c r="G25" s="760">
        <f t="shared" si="3"/>
        <v>0.10567539058679863</v>
      </c>
      <c r="H25" s="786">
        <f t="shared" si="2"/>
        <v>38.94564710328504</v>
      </c>
      <c r="I25" s="36">
        <f t="shared" si="1"/>
        <v>16</v>
      </c>
      <c r="J25" s="622"/>
    </row>
    <row r="26" spans="1:12" x14ac:dyDescent="0.25">
      <c r="A26" s="36">
        <f t="shared" si="0"/>
        <v>17</v>
      </c>
      <c r="B26" s="96" t="s">
        <v>180</v>
      </c>
      <c r="C26" s="292">
        <f t="shared" si="4"/>
        <v>2020</v>
      </c>
      <c r="D26" s="619">
        <f t="shared" si="4"/>
        <v>4.8003637103629444</v>
      </c>
      <c r="E26" s="620">
        <v>2.8E-3</v>
      </c>
      <c r="F26" s="781">
        <f t="shared" si="5"/>
        <v>43.746010813647985</v>
      </c>
      <c r="G26" s="760">
        <f t="shared" si="3"/>
        <v>0.11576832108370623</v>
      </c>
      <c r="H26" s="786">
        <f t="shared" si="2"/>
        <v>43.861779134731691</v>
      </c>
      <c r="I26" s="36">
        <f t="shared" si="1"/>
        <v>17</v>
      </c>
      <c r="J26" s="622"/>
    </row>
    <row r="27" spans="1:12" x14ac:dyDescent="0.25">
      <c r="A27" s="36">
        <f t="shared" si="0"/>
        <v>18</v>
      </c>
      <c r="B27" s="96" t="s">
        <v>181</v>
      </c>
      <c r="C27" s="292">
        <f t="shared" si="4"/>
        <v>2020</v>
      </c>
      <c r="D27" s="619">
        <f t="shared" si="4"/>
        <v>4.8003637103629444</v>
      </c>
      <c r="E27" s="620">
        <v>2.8E-3</v>
      </c>
      <c r="F27" s="781">
        <f t="shared" si="5"/>
        <v>48.662142845094635</v>
      </c>
      <c r="G27" s="760">
        <f t="shared" si="3"/>
        <v>0.12953349077175685</v>
      </c>
      <c r="H27" s="786">
        <f t="shared" si="2"/>
        <v>48.791676335866391</v>
      </c>
      <c r="I27" s="36">
        <f t="shared" si="1"/>
        <v>18</v>
      </c>
      <c r="J27" s="622"/>
    </row>
    <row r="28" spans="1:12" x14ac:dyDescent="0.25">
      <c r="A28" s="36">
        <f t="shared" si="0"/>
        <v>19</v>
      </c>
      <c r="B28" s="96" t="s">
        <v>182</v>
      </c>
      <c r="C28" s="292">
        <f t="shared" si="4"/>
        <v>2020</v>
      </c>
      <c r="D28" s="619">
        <f t="shared" si="4"/>
        <v>4.8003637103629444</v>
      </c>
      <c r="E28" s="620">
        <v>2.7000000000000001E-3</v>
      </c>
      <c r="F28" s="781">
        <f t="shared" si="5"/>
        <v>53.592040046229336</v>
      </c>
      <c r="G28" s="761">
        <f t="shared" si="3"/>
        <v>0.13821801711582923</v>
      </c>
      <c r="H28" s="624">
        <f t="shared" si="2"/>
        <v>53.730258063345168</v>
      </c>
      <c r="I28" s="36">
        <f t="shared" si="1"/>
        <v>19</v>
      </c>
      <c r="J28" s="622"/>
    </row>
    <row r="29" spans="1:12" x14ac:dyDescent="0.25">
      <c r="A29" s="36">
        <f t="shared" si="0"/>
        <v>20</v>
      </c>
      <c r="B29" s="299" t="s">
        <v>183</v>
      </c>
      <c r="C29" s="300">
        <f>C28</f>
        <v>2020</v>
      </c>
      <c r="D29" s="677">
        <f t="shared" si="4"/>
        <v>4.8003637103629444</v>
      </c>
      <c r="E29" s="678">
        <v>2.8E-3</v>
      </c>
      <c r="F29" s="782">
        <f t="shared" si="5"/>
        <v>58.530621773708113</v>
      </c>
      <c r="G29" s="762">
        <f t="shared" si="3"/>
        <v>0.15716523177187458</v>
      </c>
      <c r="H29" s="302">
        <f t="shared" si="2"/>
        <v>58.68778700547999</v>
      </c>
      <c r="I29" s="36">
        <f t="shared" si="1"/>
        <v>20</v>
      </c>
      <c r="J29" s="622"/>
    </row>
    <row r="30" spans="1:12" x14ac:dyDescent="0.25">
      <c r="A30" s="36">
        <f t="shared" si="0"/>
        <v>21</v>
      </c>
      <c r="B30" s="96" t="s">
        <v>172</v>
      </c>
      <c r="C30" s="292">
        <f>C29+1</f>
        <v>2021</v>
      </c>
      <c r="D30" s="619"/>
      <c r="E30" s="620">
        <v>2.8E-3</v>
      </c>
      <c r="F30" s="783">
        <f t="shared" si="5"/>
        <v>58.68778700547999</v>
      </c>
      <c r="G30" s="763">
        <f t="shared" si="3"/>
        <v>0.16432580361534396</v>
      </c>
      <c r="H30" s="184">
        <f t="shared" si="2"/>
        <v>58.852112809095331</v>
      </c>
      <c r="I30" s="36">
        <f t="shared" si="1"/>
        <v>21</v>
      </c>
      <c r="J30" s="622"/>
    </row>
    <row r="31" spans="1:12" x14ac:dyDescent="0.25">
      <c r="A31" s="36">
        <f t="shared" si="0"/>
        <v>22</v>
      </c>
      <c r="B31" s="96" t="s">
        <v>173</v>
      </c>
      <c r="C31" s="292">
        <f>C30</f>
        <v>2021</v>
      </c>
      <c r="D31" s="619"/>
      <c r="E31" s="620">
        <v>2.5000000000000001E-3</v>
      </c>
      <c r="F31" s="783">
        <f t="shared" si="5"/>
        <v>58.852112809095331</v>
      </c>
      <c r="G31" s="763">
        <f t="shared" si="3"/>
        <v>0.14713028202273834</v>
      </c>
      <c r="H31" s="184">
        <f t="shared" si="2"/>
        <v>58.999243091118068</v>
      </c>
      <c r="I31" s="36">
        <f t="shared" si="1"/>
        <v>22</v>
      </c>
      <c r="J31" s="622"/>
    </row>
    <row r="32" spans="1:12" x14ac:dyDescent="0.25">
      <c r="A32" s="36">
        <f t="shared" si="0"/>
        <v>23</v>
      </c>
      <c r="B32" s="96" t="s">
        <v>174</v>
      </c>
      <c r="C32" s="292">
        <f t="shared" ref="C32:C40" si="6">C31</f>
        <v>2021</v>
      </c>
      <c r="D32" s="619"/>
      <c r="E32" s="620">
        <v>2.8E-3</v>
      </c>
      <c r="F32" s="783">
        <f t="shared" si="5"/>
        <v>58.999243091118068</v>
      </c>
      <c r="G32" s="763">
        <f t="shared" si="3"/>
        <v>0.16519788065513058</v>
      </c>
      <c r="H32" s="184">
        <f t="shared" si="2"/>
        <v>59.164440971773196</v>
      </c>
      <c r="I32" s="36">
        <f t="shared" si="1"/>
        <v>23</v>
      </c>
      <c r="J32" s="622"/>
    </row>
    <row r="33" spans="1:10" x14ac:dyDescent="0.25">
      <c r="A33" s="36">
        <f t="shared" si="0"/>
        <v>24</v>
      </c>
      <c r="B33" s="96" t="s">
        <v>175</v>
      </c>
      <c r="C33" s="292">
        <f t="shared" si="6"/>
        <v>2021</v>
      </c>
      <c r="D33" s="619"/>
      <c r="E33" s="620">
        <v>2.7000000000000001E-3</v>
      </c>
      <c r="F33" s="783">
        <f t="shared" si="5"/>
        <v>59.164440971773196</v>
      </c>
      <c r="G33" s="763">
        <f t="shared" si="3"/>
        <v>0.15974399062378764</v>
      </c>
      <c r="H33" s="184">
        <f t="shared" si="2"/>
        <v>59.324184962396984</v>
      </c>
      <c r="I33" s="36">
        <f t="shared" si="1"/>
        <v>24</v>
      </c>
      <c r="J33" s="622"/>
    </row>
    <row r="34" spans="1:10" x14ac:dyDescent="0.25">
      <c r="A34" s="36">
        <f t="shared" si="0"/>
        <v>25</v>
      </c>
      <c r="B34" s="96" t="s">
        <v>176</v>
      </c>
      <c r="C34" s="292">
        <f t="shared" si="6"/>
        <v>2021</v>
      </c>
      <c r="D34" s="619"/>
      <c r="E34" s="620">
        <v>2.8E-3</v>
      </c>
      <c r="F34" s="783">
        <f t="shared" si="5"/>
        <v>59.324184962396984</v>
      </c>
      <c r="G34" s="763">
        <f t="shared" si="3"/>
        <v>0.16610771789471154</v>
      </c>
      <c r="H34" s="184">
        <f t="shared" si="2"/>
        <v>59.490292680291695</v>
      </c>
      <c r="I34" s="36">
        <f t="shared" si="1"/>
        <v>25</v>
      </c>
      <c r="J34" s="622"/>
    </row>
    <row r="35" spans="1:10" x14ac:dyDescent="0.25">
      <c r="A35" s="36">
        <f t="shared" si="0"/>
        <v>26</v>
      </c>
      <c r="B35" s="96" t="s">
        <v>177</v>
      </c>
      <c r="C35" s="292">
        <f t="shared" si="6"/>
        <v>2021</v>
      </c>
      <c r="D35" s="619"/>
      <c r="E35" s="620">
        <v>2.7000000000000001E-3</v>
      </c>
      <c r="F35" s="783">
        <f t="shared" si="5"/>
        <v>59.490292680291695</v>
      </c>
      <c r="G35" s="763">
        <f t="shared" si="3"/>
        <v>0.16062379023678758</v>
      </c>
      <c r="H35" s="184">
        <f t="shared" si="2"/>
        <v>59.650916470528486</v>
      </c>
      <c r="I35" s="36">
        <f t="shared" si="1"/>
        <v>26</v>
      </c>
      <c r="J35" s="622"/>
    </row>
    <row r="36" spans="1:10" x14ac:dyDescent="0.25">
      <c r="A36" s="36">
        <f t="shared" si="0"/>
        <v>27</v>
      </c>
      <c r="B36" s="96" t="s">
        <v>178</v>
      </c>
      <c r="C36" s="292">
        <f t="shared" si="6"/>
        <v>2021</v>
      </c>
      <c r="D36" s="619"/>
      <c r="E36" s="620">
        <v>2.8E-3</v>
      </c>
      <c r="F36" s="783">
        <f t="shared" si="5"/>
        <v>59.650916470528486</v>
      </c>
      <c r="G36" s="763">
        <f t="shared" si="3"/>
        <v>0.16702256611747976</v>
      </c>
      <c r="H36" s="184">
        <f t="shared" si="2"/>
        <v>59.817939036645967</v>
      </c>
      <c r="I36" s="36">
        <f t="shared" si="1"/>
        <v>27</v>
      </c>
      <c r="J36" s="622"/>
    </row>
    <row r="37" spans="1:10" x14ac:dyDescent="0.25">
      <c r="A37" s="36">
        <f t="shared" si="0"/>
        <v>28</v>
      </c>
      <c r="B37" s="96" t="s">
        <v>179</v>
      </c>
      <c r="C37" s="292">
        <f t="shared" si="6"/>
        <v>2021</v>
      </c>
      <c r="D37" s="619"/>
      <c r="E37" s="620">
        <v>2.8E-3</v>
      </c>
      <c r="F37" s="783">
        <f t="shared" si="5"/>
        <v>59.817939036645967</v>
      </c>
      <c r="G37" s="763">
        <f t="shared" si="3"/>
        <v>0.16749022930260871</v>
      </c>
      <c r="H37" s="184">
        <f t="shared" si="2"/>
        <v>59.985429265948575</v>
      </c>
      <c r="I37" s="36">
        <f t="shared" si="1"/>
        <v>28</v>
      </c>
      <c r="J37" s="622"/>
    </row>
    <row r="38" spans="1:10" x14ac:dyDescent="0.25">
      <c r="A38" s="36">
        <f t="shared" si="0"/>
        <v>29</v>
      </c>
      <c r="B38" s="96" t="s">
        <v>180</v>
      </c>
      <c r="C38" s="292">
        <f t="shared" si="6"/>
        <v>2021</v>
      </c>
      <c r="D38" s="619"/>
      <c r="E38" s="620">
        <v>2.7000000000000001E-3</v>
      </c>
      <c r="F38" s="783">
        <f t="shared" si="5"/>
        <v>59.985429265948575</v>
      </c>
      <c r="G38" s="763">
        <f t="shared" si="3"/>
        <v>0.16196065901806117</v>
      </c>
      <c r="H38" s="184">
        <f t="shared" si="2"/>
        <v>60.147389924966639</v>
      </c>
      <c r="I38" s="36">
        <f t="shared" si="1"/>
        <v>29</v>
      </c>
      <c r="J38" s="622"/>
    </row>
    <row r="39" spans="1:10" x14ac:dyDescent="0.25">
      <c r="A39" s="36">
        <f t="shared" si="0"/>
        <v>30</v>
      </c>
      <c r="B39" s="96" t="s">
        <v>181</v>
      </c>
      <c r="C39" s="292">
        <f t="shared" si="6"/>
        <v>2021</v>
      </c>
      <c r="D39" s="619"/>
      <c r="E39" s="620">
        <v>2.8E-3</v>
      </c>
      <c r="F39" s="783">
        <f t="shared" si="5"/>
        <v>60.147389924966639</v>
      </c>
      <c r="G39" s="763">
        <f t="shared" si="3"/>
        <v>0.16841269178990659</v>
      </c>
      <c r="H39" s="184">
        <f t="shared" si="2"/>
        <v>60.315802616756542</v>
      </c>
      <c r="I39" s="36">
        <f t="shared" si="1"/>
        <v>30</v>
      </c>
      <c r="J39" s="622"/>
    </row>
    <row r="40" spans="1:10" x14ac:dyDescent="0.25">
      <c r="A40" s="36">
        <f t="shared" si="0"/>
        <v>31</v>
      </c>
      <c r="B40" s="96" t="s">
        <v>182</v>
      </c>
      <c r="C40" s="292">
        <f t="shared" si="6"/>
        <v>2021</v>
      </c>
      <c r="D40" s="619"/>
      <c r="E40" s="620">
        <v>2.7000000000000001E-3</v>
      </c>
      <c r="F40" s="783">
        <f t="shared" si="5"/>
        <v>60.315802616756542</v>
      </c>
      <c r="G40" s="763">
        <f t="shared" si="3"/>
        <v>0.16285266706524268</v>
      </c>
      <c r="H40" s="184">
        <f t="shared" si="2"/>
        <v>60.478655283821787</v>
      </c>
      <c r="I40" s="36">
        <f t="shared" si="1"/>
        <v>31</v>
      </c>
      <c r="J40" s="622"/>
    </row>
    <row r="41" spans="1:10" x14ac:dyDescent="0.25">
      <c r="A41" s="36">
        <f t="shared" si="0"/>
        <v>32</v>
      </c>
      <c r="B41" s="299" t="s">
        <v>183</v>
      </c>
      <c r="C41" s="300">
        <f>C40</f>
        <v>2021</v>
      </c>
      <c r="D41" s="677"/>
      <c r="E41" s="678">
        <v>2.8E-3</v>
      </c>
      <c r="F41" s="782">
        <f t="shared" si="5"/>
        <v>60.478655283821787</v>
      </c>
      <c r="G41" s="762">
        <f t="shared" si="3"/>
        <v>0.16934023479470101</v>
      </c>
      <c r="H41" s="302">
        <f t="shared" si="2"/>
        <v>60.64799551861649</v>
      </c>
      <c r="I41" s="36">
        <f t="shared" si="1"/>
        <v>32</v>
      </c>
      <c r="J41" s="622"/>
    </row>
    <row r="42" spans="1:10" x14ac:dyDescent="0.25">
      <c r="A42" s="36">
        <f t="shared" si="0"/>
        <v>33</v>
      </c>
      <c r="B42" s="96" t="s">
        <v>172</v>
      </c>
      <c r="C42" s="292">
        <f>C41+1</f>
        <v>2022</v>
      </c>
      <c r="D42" s="619"/>
      <c r="E42" s="620">
        <v>2.8E-3</v>
      </c>
      <c r="F42" s="783">
        <f t="shared" si="5"/>
        <v>60.64799551861649</v>
      </c>
      <c r="G42" s="763">
        <f t="shared" si="3"/>
        <v>0.16981438745212618</v>
      </c>
      <c r="H42" s="184">
        <f t="shared" si="2"/>
        <v>60.817809906068618</v>
      </c>
      <c r="I42" s="36">
        <f t="shared" si="1"/>
        <v>33</v>
      </c>
      <c r="J42" s="622"/>
    </row>
    <row r="43" spans="1:10" x14ac:dyDescent="0.25">
      <c r="A43" s="36">
        <f t="shared" si="0"/>
        <v>34</v>
      </c>
      <c r="B43" s="96" t="s">
        <v>173</v>
      </c>
      <c r="C43" s="292">
        <f>C42</f>
        <v>2022</v>
      </c>
      <c r="D43" s="619"/>
      <c r="E43" s="620">
        <v>2.5000000000000001E-3</v>
      </c>
      <c r="F43" s="783">
        <f t="shared" si="5"/>
        <v>60.817809906068618</v>
      </c>
      <c r="G43" s="763">
        <f t="shared" si="3"/>
        <v>0.15204452476517155</v>
      </c>
      <c r="H43" s="184">
        <f t="shared" si="2"/>
        <v>60.969854430833792</v>
      </c>
      <c r="I43" s="36">
        <f t="shared" si="1"/>
        <v>34</v>
      </c>
      <c r="J43" s="622"/>
    </row>
    <row r="44" spans="1:10" x14ac:dyDescent="0.25">
      <c r="A44" s="36">
        <f t="shared" si="0"/>
        <v>35</v>
      </c>
      <c r="B44" s="96" t="s">
        <v>174</v>
      </c>
      <c r="C44" s="292">
        <f t="shared" ref="C44:C52" si="7">C43</f>
        <v>2022</v>
      </c>
      <c r="D44" s="619"/>
      <c r="E44" s="620">
        <v>2.8E-3</v>
      </c>
      <c r="F44" s="783">
        <f t="shared" si="5"/>
        <v>60.969854430833792</v>
      </c>
      <c r="G44" s="763">
        <f t="shared" si="3"/>
        <v>0.1707155924063346</v>
      </c>
      <c r="H44" s="184">
        <f t="shared" si="2"/>
        <v>61.140570023240123</v>
      </c>
      <c r="I44" s="36">
        <f t="shared" si="1"/>
        <v>35</v>
      </c>
      <c r="J44" s="622"/>
    </row>
    <row r="45" spans="1:10" x14ac:dyDescent="0.25">
      <c r="A45" s="36">
        <f t="shared" si="0"/>
        <v>36</v>
      </c>
      <c r="B45" s="96" t="s">
        <v>175</v>
      </c>
      <c r="C45" s="292">
        <f t="shared" si="7"/>
        <v>2022</v>
      </c>
      <c r="D45" s="619"/>
      <c r="E45" s="620">
        <v>2.7000000000000001E-3</v>
      </c>
      <c r="F45" s="783">
        <f t="shared" si="5"/>
        <v>61.140570023240123</v>
      </c>
      <c r="G45" s="763">
        <f t="shared" si="3"/>
        <v>0.16507953906274833</v>
      </c>
      <c r="H45" s="184">
        <f t="shared" si="2"/>
        <v>61.305649562302868</v>
      </c>
      <c r="I45" s="36">
        <f t="shared" si="1"/>
        <v>36</v>
      </c>
      <c r="J45" s="622"/>
    </row>
    <row r="46" spans="1:10" x14ac:dyDescent="0.25">
      <c r="A46" s="36">
        <f t="shared" si="0"/>
        <v>37</v>
      </c>
      <c r="B46" s="96" t="s">
        <v>176</v>
      </c>
      <c r="C46" s="292">
        <f t="shared" si="7"/>
        <v>2022</v>
      </c>
      <c r="D46" s="619"/>
      <c r="E46" s="620">
        <v>2.8E-3</v>
      </c>
      <c r="F46" s="783">
        <f t="shared" si="5"/>
        <v>61.305649562302868</v>
      </c>
      <c r="G46" s="763">
        <f t="shared" si="3"/>
        <v>0.17165581877444802</v>
      </c>
      <c r="H46" s="184">
        <f t="shared" si="2"/>
        <v>61.477305381077315</v>
      </c>
      <c r="I46" s="36">
        <f t="shared" si="1"/>
        <v>37</v>
      </c>
      <c r="J46" s="622"/>
    </row>
    <row r="47" spans="1:10" x14ac:dyDescent="0.25">
      <c r="A47" s="36">
        <f t="shared" si="0"/>
        <v>38</v>
      </c>
      <c r="B47" s="96" t="s">
        <v>177</v>
      </c>
      <c r="C47" s="292">
        <f t="shared" si="7"/>
        <v>2022</v>
      </c>
      <c r="D47" s="619"/>
      <c r="E47" s="620">
        <v>2.7000000000000001E-3</v>
      </c>
      <c r="F47" s="783">
        <f t="shared" si="5"/>
        <v>61.477305381077315</v>
      </c>
      <c r="G47" s="763">
        <f t="shared" si="3"/>
        <v>0.16598872452890875</v>
      </c>
      <c r="H47" s="184">
        <f t="shared" si="2"/>
        <v>61.643294105606223</v>
      </c>
      <c r="I47" s="36">
        <f t="shared" si="1"/>
        <v>38</v>
      </c>
      <c r="J47" s="622"/>
    </row>
    <row r="48" spans="1:10" x14ac:dyDescent="0.25">
      <c r="A48" s="36">
        <f t="shared" si="0"/>
        <v>39</v>
      </c>
      <c r="B48" s="96" t="s">
        <v>178</v>
      </c>
      <c r="C48" s="292">
        <f t="shared" si="7"/>
        <v>2022</v>
      </c>
      <c r="D48" s="619"/>
      <c r="E48" s="620">
        <v>3.0999999999999999E-3</v>
      </c>
      <c r="F48" s="783">
        <f t="shared" si="5"/>
        <v>61.643294105606223</v>
      </c>
      <c r="G48" s="763">
        <f t="shared" si="3"/>
        <v>0.19109421172737928</v>
      </c>
      <c r="H48" s="184">
        <f t="shared" si="2"/>
        <v>61.834388317333605</v>
      </c>
      <c r="I48" s="36">
        <f t="shared" si="1"/>
        <v>39</v>
      </c>
      <c r="J48" s="622"/>
    </row>
    <row r="49" spans="1:10" x14ac:dyDescent="0.25">
      <c r="A49" s="36">
        <f t="shared" si="0"/>
        <v>40</v>
      </c>
      <c r="B49" s="96" t="s">
        <v>179</v>
      </c>
      <c r="C49" s="292">
        <f t="shared" si="7"/>
        <v>2022</v>
      </c>
      <c r="D49" s="619"/>
      <c r="E49" s="620">
        <v>3.0999999999999999E-3</v>
      </c>
      <c r="F49" s="783">
        <f t="shared" si="5"/>
        <v>61.834388317333605</v>
      </c>
      <c r="G49" s="763">
        <f t="shared" si="3"/>
        <v>0.19168660378373417</v>
      </c>
      <c r="H49" s="184">
        <f t="shared" si="2"/>
        <v>62.026074921117342</v>
      </c>
      <c r="I49" s="36">
        <f t="shared" si="1"/>
        <v>40</v>
      </c>
      <c r="J49" s="622"/>
    </row>
    <row r="50" spans="1:10" x14ac:dyDescent="0.25">
      <c r="A50" s="36">
        <f t="shared" si="0"/>
        <v>41</v>
      </c>
      <c r="B50" s="96" t="s">
        <v>180</v>
      </c>
      <c r="C50" s="292">
        <f t="shared" si="7"/>
        <v>2022</v>
      </c>
      <c r="D50" s="619"/>
      <c r="E50" s="620">
        <v>3.0000000000000001E-3</v>
      </c>
      <c r="F50" s="783">
        <f t="shared" si="5"/>
        <v>62.026074921117342</v>
      </c>
      <c r="G50" s="763">
        <f t="shared" si="3"/>
        <v>0.18607822476335203</v>
      </c>
      <c r="H50" s="184">
        <f t="shared" si="2"/>
        <v>62.212153145880691</v>
      </c>
      <c r="I50" s="36">
        <f t="shared" si="1"/>
        <v>41</v>
      </c>
      <c r="J50" s="622"/>
    </row>
    <row r="51" spans="1:10" x14ac:dyDescent="0.25">
      <c r="A51" s="36">
        <f t="shared" si="0"/>
        <v>42</v>
      </c>
      <c r="B51" s="96" t="s">
        <v>181</v>
      </c>
      <c r="C51" s="292">
        <f t="shared" si="7"/>
        <v>2022</v>
      </c>
      <c r="D51" s="619"/>
      <c r="E51" s="620">
        <v>4.1999999999999997E-3</v>
      </c>
      <c r="F51" s="783">
        <f t="shared" si="5"/>
        <v>62.212153145880691</v>
      </c>
      <c r="G51" s="763">
        <f t="shared" si="3"/>
        <v>0.26129104321269891</v>
      </c>
      <c r="H51" s="184">
        <f t="shared" si="2"/>
        <v>62.473444189093392</v>
      </c>
      <c r="I51" s="36">
        <f t="shared" si="1"/>
        <v>42</v>
      </c>
      <c r="J51" s="622"/>
    </row>
    <row r="52" spans="1:10" x14ac:dyDescent="0.25">
      <c r="A52" s="36">
        <f t="shared" si="0"/>
        <v>43</v>
      </c>
      <c r="B52" s="96" t="s">
        <v>182</v>
      </c>
      <c r="C52" s="292">
        <f t="shared" si="7"/>
        <v>2022</v>
      </c>
      <c r="D52" s="619"/>
      <c r="E52" s="620">
        <v>4.0000000000000001E-3</v>
      </c>
      <c r="F52" s="783">
        <f t="shared" si="5"/>
        <v>62.473444189093392</v>
      </c>
      <c r="G52" s="763">
        <f t="shared" si="3"/>
        <v>0.24989377675637359</v>
      </c>
      <c r="H52" s="184">
        <f t="shared" si="2"/>
        <v>62.723337965849765</v>
      </c>
      <c r="I52" s="36">
        <f t="shared" si="1"/>
        <v>43</v>
      </c>
      <c r="J52" s="622"/>
    </row>
    <row r="53" spans="1:10" x14ac:dyDescent="0.25">
      <c r="A53" s="36">
        <f t="shared" si="0"/>
        <v>44</v>
      </c>
      <c r="B53" s="299" t="s">
        <v>183</v>
      </c>
      <c r="C53" s="300">
        <f>C52</f>
        <v>2022</v>
      </c>
      <c r="D53" s="677"/>
      <c r="E53" s="698">
        <v>4.1999999999999997E-3</v>
      </c>
      <c r="F53" s="782">
        <f t="shared" si="5"/>
        <v>62.723337965849765</v>
      </c>
      <c r="G53" s="762">
        <f t="shared" si="3"/>
        <v>0.26343801945656897</v>
      </c>
      <c r="H53" s="302">
        <f t="shared" si="2"/>
        <v>62.986775985306338</v>
      </c>
      <c r="I53" s="36">
        <f t="shared" si="1"/>
        <v>44</v>
      </c>
      <c r="J53" s="622"/>
    </row>
    <row r="54" spans="1:10" x14ac:dyDescent="0.25">
      <c r="A54" s="36">
        <f t="shared" si="0"/>
        <v>45</v>
      </c>
      <c r="B54" s="694" t="s">
        <v>172</v>
      </c>
      <c r="C54" s="695">
        <v>2023</v>
      </c>
      <c r="D54" s="619"/>
      <c r="E54" s="620">
        <v>5.4000000000000003E-3</v>
      </c>
      <c r="F54" s="783">
        <f t="shared" si="5"/>
        <v>62.986775985306338</v>
      </c>
      <c r="G54" s="763">
        <f t="shared" si="3"/>
        <v>0.34012859032065423</v>
      </c>
      <c r="H54" s="184">
        <f t="shared" si="2"/>
        <v>63.32690457562699</v>
      </c>
      <c r="I54" s="36">
        <f t="shared" si="1"/>
        <v>45</v>
      </c>
      <c r="J54" s="622"/>
    </row>
    <row r="55" spans="1:10" x14ac:dyDescent="0.25">
      <c r="A55" s="36">
        <f t="shared" si="0"/>
        <v>46</v>
      </c>
      <c r="B55" s="694" t="s">
        <v>173</v>
      </c>
      <c r="C55" s="695">
        <v>2023</v>
      </c>
      <c r="D55" s="619"/>
      <c r="E55" s="620">
        <v>4.7999999999999996E-3</v>
      </c>
      <c r="F55" s="783">
        <f t="shared" si="5"/>
        <v>63.32690457562699</v>
      </c>
      <c r="G55" s="763">
        <f t="shared" si="3"/>
        <v>0.3039691419630095</v>
      </c>
      <c r="H55" s="184">
        <f t="shared" si="2"/>
        <v>63.630873717589999</v>
      </c>
      <c r="I55" s="36">
        <f t="shared" si="1"/>
        <v>46</v>
      </c>
      <c r="J55" s="622"/>
    </row>
    <row r="56" spans="1:10" x14ac:dyDescent="0.25">
      <c r="A56" s="36">
        <f t="shared" si="0"/>
        <v>47</v>
      </c>
      <c r="B56" s="694" t="s">
        <v>174</v>
      </c>
      <c r="C56" s="695">
        <v>2023</v>
      </c>
      <c r="D56" s="619"/>
      <c r="E56" s="620">
        <v>5.4000000000000003E-3</v>
      </c>
      <c r="F56" s="783">
        <f t="shared" si="5"/>
        <v>63.630873717589999</v>
      </c>
      <c r="G56" s="763">
        <f t="shared" si="3"/>
        <v>0.343606718074986</v>
      </c>
      <c r="H56" s="184">
        <f t="shared" si="2"/>
        <v>63.974480435664987</v>
      </c>
      <c r="I56" s="36">
        <f t="shared" si="1"/>
        <v>47</v>
      </c>
      <c r="J56" s="622"/>
    </row>
    <row r="57" spans="1:10" x14ac:dyDescent="0.25">
      <c r="A57" s="36">
        <f t="shared" si="0"/>
        <v>48</v>
      </c>
      <c r="B57" s="694" t="s">
        <v>175</v>
      </c>
      <c r="C57" s="695">
        <v>2023</v>
      </c>
      <c r="D57" s="619"/>
      <c r="E57" s="620">
        <v>6.1999999999999998E-3</v>
      </c>
      <c r="F57" s="783">
        <f t="shared" si="5"/>
        <v>63.974480435664987</v>
      </c>
      <c r="G57" s="763">
        <f t="shared" si="3"/>
        <v>0.39664177870112288</v>
      </c>
      <c r="H57" s="184">
        <f t="shared" si="2"/>
        <v>64.37112221436611</v>
      </c>
      <c r="I57" s="36">
        <f t="shared" si="1"/>
        <v>48</v>
      </c>
      <c r="J57" s="622"/>
    </row>
    <row r="58" spans="1:10" x14ac:dyDescent="0.25">
      <c r="A58" s="36">
        <f t="shared" si="0"/>
        <v>49</v>
      </c>
      <c r="B58" s="694" t="s">
        <v>176</v>
      </c>
      <c r="C58" s="695">
        <v>2023</v>
      </c>
      <c r="D58" s="619"/>
      <c r="E58" s="620">
        <v>6.4000000000000003E-3</v>
      </c>
      <c r="F58" s="783">
        <f t="shared" si="5"/>
        <v>64.37112221436611</v>
      </c>
      <c r="G58" s="763">
        <f t="shared" si="3"/>
        <v>0.41197518217194312</v>
      </c>
      <c r="H58" s="184">
        <f t="shared" si="2"/>
        <v>64.783097396538054</v>
      </c>
      <c r="I58" s="36">
        <f t="shared" si="1"/>
        <v>49</v>
      </c>
      <c r="J58" s="622"/>
    </row>
    <row r="59" spans="1:10" x14ac:dyDescent="0.25">
      <c r="A59" s="36">
        <f t="shared" si="0"/>
        <v>50</v>
      </c>
      <c r="B59" s="694" t="s">
        <v>177</v>
      </c>
      <c r="C59" s="695">
        <v>2023</v>
      </c>
      <c r="D59" s="619"/>
      <c r="E59" s="620">
        <v>6.1999999999999998E-3</v>
      </c>
      <c r="F59" s="783">
        <f t="shared" si="5"/>
        <v>64.783097396538054</v>
      </c>
      <c r="G59" s="763">
        <f t="shared" si="3"/>
        <v>0.40165520385853593</v>
      </c>
      <c r="H59" s="184">
        <f t="shared" si="2"/>
        <v>65.184752600396592</v>
      </c>
      <c r="I59" s="36">
        <f t="shared" si="1"/>
        <v>50</v>
      </c>
      <c r="J59" s="622"/>
    </row>
    <row r="60" spans="1:10" x14ac:dyDescent="0.25">
      <c r="A60" s="36">
        <f t="shared" si="0"/>
        <v>51</v>
      </c>
      <c r="B60" s="694" t="s">
        <v>178</v>
      </c>
      <c r="C60" s="695">
        <v>2023</v>
      </c>
      <c r="D60" s="619"/>
      <c r="E60" s="620">
        <v>6.7999999999999996E-3</v>
      </c>
      <c r="F60" s="783">
        <f t="shared" si="5"/>
        <v>65.184752600396592</v>
      </c>
      <c r="G60" s="763">
        <f t="shared" si="3"/>
        <v>0.4432563176826968</v>
      </c>
      <c r="H60" s="184">
        <f t="shared" si="2"/>
        <v>65.628008918079288</v>
      </c>
      <c r="I60" s="36">
        <f t="shared" si="1"/>
        <v>51</v>
      </c>
      <c r="J60" s="622"/>
    </row>
    <row r="61" spans="1:10" x14ac:dyDescent="0.25">
      <c r="A61" s="36">
        <f t="shared" si="0"/>
        <v>52</v>
      </c>
      <c r="B61" s="694" t="s">
        <v>179</v>
      </c>
      <c r="C61" s="695">
        <v>2023</v>
      </c>
      <c r="D61" s="619"/>
      <c r="E61" s="620">
        <v>6.7999999999999996E-3</v>
      </c>
      <c r="F61" s="783">
        <f t="shared" si="5"/>
        <v>65.628008918079288</v>
      </c>
      <c r="G61" s="763">
        <f t="shared" si="3"/>
        <v>0.44627046064293913</v>
      </c>
      <c r="H61" s="184">
        <f t="shared" si="2"/>
        <v>66.074279378722224</v>
      </c>
      <c r="I61" s="36">
        <f t="shared" si="1"/>
        <v>52</v>
      </c>
      <c r="J61" s="622"/>
    </row>
    <row r="62" spans="1:10" x14ac:dyDescent="0.25">
      <c r="A62" s="36">
        <f t="shared" si="0"/>
        <v>53</v>
      </c>
      <c r="B62" s="694" t="s">
        <v>180</v>
      </c>
      <c r="C62" s="695">
        <v>2023</v>
      </c>
      <c r="D62" s="619"/>
      <c r="E62" s="620">
        <v>6.6E-3</v>
      </c>
      <c r="F62" s="783">
        <f t="shared" si="5"/>
        <v>66.074279378722224</v>
      </c>
      <c r="G62" s="763">
        <f t="shared" si="3"/>
        <v>0.43609024389956669</v>
      </c>
      <c r="H62" s="184">
        <f t="shared" si="2"/>
        <v>66.510369622621795</v>
      </c>
      <c r="I62" s="36">
        <f t="shared" si="1"/>
        <v>53</v>
      </c>
      <c r="J62" s="622"/>
    </row>
    <row r="63" spans="1:10" x14ac:dyDescent="0.25">
      <c r="A63" s="36">
        <f t="shared" si="0"/>
        <v>54</v>
      </c>
      <c r="B63" s="694" t="s">
        <v>181</v>
      </c>
      <c r="C63" s="695">
        <v>2023</v>
      </c>
      <c r="D63" s="619"/>
      <c r="E63" s="620">
        <v>7.1000000000000004E-3</v>
      </c>
      <c r="F63" s="783">
        <f t="shared" si="5"/>
        <v>66.510369622621795</v>
      </c>
      <c r="G63" s="763">
        <f t="shared" si="3"/>
        <v>0.47222362432061477</v>
      </c>
      <c r="H63" s="184">
        <f t="shared" si="2"/>
        <v>66.982593246942415</v>
      </c>
      <c r="I63" s="36">
        <f t="shared" si="1"/>
        <v>54</v>
      </c>
      <c r="J63" s="622"/>
    </row>
    <row r="64" spans="1:10" x14ac:dyDescent="0.25">
      <c r="A64" s="36">
        <f t="shared" si="0"/>
        <v>55</v>
      </c>
      <c r="B64" s="694" t="s">
        <v>182</v>
      </c>
      <c r="C64" s="695">
        <v>2023</v>
      </c>
      <c r="D64" s="619"/>
      <c r="E64" s="620">
        <v>6.8999999999999999E-3</v>
      </c>
      <c r="F64" s="783">
        <f t="shared" si="5"/>
        <v>66.982593246942415</v>
      </c>
      <c r="G64" s="763">
        <f t="shared" si="3"/>
        <v>0.46217989340390264</v>
      </c>
      <c r="H64" s="184">
        <f t="shared" si="2"/>
        <v>67.444773140346314</v>
      </c>
      <c r="I64" s="36">
        <f t="shared" si="1"/>
        <v>55</v>
      </c>
      <c r="J64" s="622"/>
    </row>
    <row r="65" spans="1:10" x14ac:dyDescent="0.25">
      <c r="A65" s="36">
        <f t="shared" si="0"/>
        <v>56</v>
      </c>
      <c r="B65" s="696" t="s">
        <v>183</v>
      </c>
      <c r="C65" s="697">
        <v>2023</v>
      </c>
      <c r="D65" s="619"/>
      <c r="E65" s="698">
        <v>7.1000000000000004E-3</v>
      </c>
      <c r="F65" s="784">
        <f t="shared" si="5"/>
        <v>67.444773140346314</v>
      </c>
      <c r="G65" s="764">
        <f t="shared" si="3"/>
        <v>0.47885788929645884</v>
      </c>
      <c r="H65" s="699">
        <f t="shared" si="2"/>
        <v>67.923631029642777</v>
      </c>
      <c r="I65" s="36">
        <f t="shared" si="1"/>
        <v>56</v>
      </c>
      <c r="J65" s="622"/>
    </row>
    <row r="66" spans="1:10" ht="16.5" thickBot="1" x14ac:dyDescent="0.3">
      <c r="A66" s="36">
        <f t="shared" si="0"/>
        <v>57</v>
      </c>
      <c r="D66" s="787">
        <f>SUM(D18:D65)</f>
        <v>57.604364524355333</v>
      </c>
      <c r="E66" s="663"/>
      <c r="F66" s="625"/>
      <c r="G66" s="788">
        <f>SUM(G18:G65)</f>
        <v>10.319266505287436</v>
      </c>
      <c r="H66" s="626"/>
      <c r="I66" s="36">
        <f t="shared" si="1"/>
        <v>57</v>
      </c>
    </row>
    <row r="67" spans="1:10" ht="16.5" thickTop="1" x14ac:dyDescent="0.25">
      <c r="D67" s="627"/>
      <c r="E67" s="627"/>
      <c r="F67" s="627"/>
      <c r="G67" s="310"/>
      <c r="H67" s="310"/>
    </row>
    <row r="68" spans="1:10" x14ac:dyDescent="0.25">
      <c r="B68" s="628"/>
    </row>
    <row r="69" spans="1:10" ht="18.75" x14ac:dyDescent="0.25">
      <c r="A69" s="312">
        <v>1</v>
      </c>
      <c r="B69" s="615" t="s">
        <v>189</v>
      </c>
      <c r="C69" s="629"/>
    </row>
    <row r="70" spans="1:10" ht="18.75" x14ac:dyDescent="0.25">
      <c r="A70" s="312">
        <v>2</v>
      </c>
      <c r="B70" s="615" t="s">
        <v>581</v>
      </c>
    </row>
    <row r="71" spans="1:10" ht="18.75" x14ac:dyDescent="0.25">
      <c r="A71" s="312">
        <v>3</v>
      </c>
      <c r="B71" s="615" t="s">
        <v>582</v>
      </c>
    </row>
    <row r="72" spans="1:10" x14ac:dyDescent="0.25">
      <c r="B72" s="615" t="s">
        <v>583</v>
      </c>
    </row>
    <row r="73" spans="1:10" x14ac:dyDescent="0.25">
      <c r="A73" s="766"/>
      <c r="B73" s="767" t="s">
        <v>602</v>
      </c>
      <c r="C73" s="767"/>
    </row>
  </sheetData>
  <mergeCells count="5">
    <mergeCell ref="B2:H2"/>
    <mergeCell ref="B4:H4"/>
    <mergeCell ref="B5:H5"/>
    <mergeCell ref="B6:H6"/>
    <mergeCell ref="B3:H3"/>
  </mergeCells>
  <printOptions horizontalCentered="1"/>
  <pageMargins left="0.25" right="0.25" top="0.5" bottom="0.75" header="0.25" footer="0.25"/>
  <pageSetup scale="61" orientation="portrait" r:id="rId1"/>
  <headerFooter scaleWithDoc="0" alignWithMargins="0">
    <oddFooter>&amp;L&amp;F&amp;CPage 14&amp;R&amp;A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H57"/>
  <sheetViews>
    <sheetView zoomScale="80" zoomScaleNormal="80" workbookViewId="0"/>
  </sheetViews>
  <sheetFormatPr defaultColWidth="8.85546875" defaultRowHeight="15.75" x14ac:dyDescent="0.25"/>
  <cols>
    <col min="1" max="1" width="5.140625" style="36" customWidth="1"/>
    <col min="2" max="2" width="77.7109375" style="18" customWidth="1"/>
    <col min="3" max="3" width="22.5703125" style="18" customWidth="1"/>
    <col min="4" max="4" width="1.85546875" style="18" customWidth="1"/>
    <col min="5" max="5" width="56.140625" style="18" customWidth="1"/>
    <col min="6" max="6" width="5.140625" style="36" customWidth="1"/>
    <col min="7" max="7" width="8.85546875" style="18"/>
    <col min="8" max="8" width="9.5703125" style="18" customWidth="1"/>
    <col min="9" max="16384" width="8.85546875" style="18"/>
  </cols>
  <sheetData>
    <row r="1" spans="1:6" x14ac:dyDescent="0.25">
      <c r="A1" s="161"/>
      <c r="B1" s="162"/>
      <c r="C1" s="162"/>
      <c r="D1" s="162"/>
      <c r="E1" s="370"/>
      <c r="F1" s="161"/>
    </row>
    <row r="2" spans="1:6" x14ac:dyDescent="0.25">
      <c r="A2" s="161"/>
      <c r="B2" s="801" t="s">
        <v>19</v>
      </c>
      <c r="C2" s="801"/>
      <c r="D2" s="801"/>
      <c r="E2" s="801"/>
      <c r="F2" s="162"/>
    </row>
    <row r="3" spans="1:6" x14ac:dyDescent="0.25">
      <c r="B3" s="801" t="s">
        <v>56</v>
      </c>
      <c r="C3" s="801"/>
      <c r="D3" s="801"/>
      <c r="E3" s="801"/>
      <c r="F3" s="158"/>
    </row>
    <row r="4" spans="1:6" x14ac:dyDescent="0.25">
      <c r="B4" s="801" t="s">
        <v>57</v>
      </c>
      <c r="C4" s="801"/>
      <c r="D4" s="801"/>
      <c r="E4" s="801"/>
      <c r="F4" s="158"/>
    </row>
    <row r="5" spans="1:6" x14ac:dyDescent="0.25">
      <c r="A5" s="161"/>
      <c r="B5" s="803" t="s">
        <v>58</v>
      </c>
      <c r="C5" s="803"/>
      <c r="D5" s="803"/>
      <c r="E5" s="803"/>
      <c r="F5" s="161"/>
    </row>
    <row r="6" spans="1:6" x14ac:dyDescent="0.25">
      <c r="B6" s="802" t="s">
        <v>3</v>
      </c>
      <c r="C6" s="801"/>
      <c r="D6" s="801"/>
      <c r="E6" s="801"/>
      <c r="F6" s="158"/>
    </row>
    <row r="7" spans="1:6" ht="16.5" thickBot="1" x14ac:dyDescent="0.3">
      <c r="A7" s="161"/>
      <c r="B7" s="162"/>
      <c r="C7" s="163"/>
      <c r="D7" s="164"/>
      <c r="E7" s="163"/>
      <c r="F7" s="161"/>
    </row>
    <row r="8" spans="1:6" x14ac:dyDescent="0.25">
      <c r="A8" s="165" t="s">
        <v>4</v>
      </c>
      <c r="B8" s="166"/>
      <c r="C8" s="167"/>
      <c r="D8" s="162"/>
      <c r="E8" s="168"/>
      <c r="F8" s="169" t="s">
        <v>4</v>
      </c>
    </row>
    <row r="9" spans="1:6" x14ac:dyDescent="0.25">
      <c r="A9" s="165" t="s">
        <v>5</v>
      </c>
      <c r="B9" s="371" t="s">
        <v>26</v>
      </c>
      <c r="C9" s="609" t="s">
        <v>7</v>
      </c>
      <c r="D9" s="372"/>
      <c r="E9" s="372" t="s">
        <v>8</v>
      </c>
      <c r="F9" s="169" t="s">
        <v>5</v>
      </c>
    </row>
    <row r="10" spans="1:6" x14ac:dyDescent="0.25">
      <c r="A10" s="165"/>
      <c r="B10" s="170"/>
      <c r="C10" s="171"/>
      <c r="D10" s="172"/>
      <c r="E10" s="173"/>
      <c r="F10" s="169"/>
    </row>
    <row r="11" spans="1:6" x14ac:dyDescent="0.25">
      <c r="A11" s="165">
        <v>1</v>
      </c>
      <c r="B11" s="174" t="s">
        <v>28</v>
      </c>
      <c r="C11" s="175">
        <v>63.508862639043954</v>
      </c>
      <c r="D11" s="176"/>
      <c r="E11" s="177" t="s">
        <v>59</v>
      </c>
      <c r="F11" s="169">
        <f>A11</f>
        <v>1</v>
      </c>
    </row>
    <row r="12" spans="1:6" x14ac:dyDescent="0.25">
      <c r="A12" s="165">
        <f>A11+1</f>
        <v>2</v>
      </c>
      <c r="B12" s="178"/>
      <c r="C12" s="179"/>
      <c r="D12" s="180"/>
      <c r="E12" s="162"/>
      <c r="F12" s="169">
        <f>F11+1</f>
        <v>2</v>
      </c>
    </row>
    <row r="13" spans="1:6" x14ac:dyDescent="0.25">
      <c r="A13" s="165">
        <f t="shared" ref="A13:A28" si="0">A12+1</f>
        <v>3</v>
      </c>
      <c r="B13" s="174" t="s">
        <v>30</v>
      </c>
      <c r="C13" s="181">
        <f>'Pg5 Rev Sec.2-Non-Direct Exp'!E35</f>
        <v>2933.6660841832936</v>
      </c>
      <c r="D13" s="25" t="s">
        <v>31</v>
      </c>
      <c r="E13" s="177" t="s">
        <v>605</v>
      </c>
      <c r="F13" s="169">
        <f t="shared" ref="F13:F28" si="1">F12+1</f>
        <v>3</v>
      </c>
    </row>
    <row r="14" spans="1:6" x14ac:dyDescent="0.25">
      <c r="A14" s="165">
        <f t="shared" si="0"/>
        <v>4</v>
      </c>
      <c r="B14" s="178"/>
      <c r="C14" s="179"/>
      <c r="D14" s="180"/>
      <c r="E14" s="182"/>
      <c r="F14" s="169">
        <f t="shared" si="1"/>
        <v>4</v>
      </c>
    </row>
    <row r="15" spans="1:6" x14ac:dyDescent="0.25">
      <c r="A15" s="165">
        <f t="shared" si="0"/>
        <v>5</v>
      </c>
      <c r="B15" s="183" t="s">
        <v>33</v>
      </c>
      <c r="C15" s="529">
        <v>874.61355840368606</v>
      </c>
      <c r="D15" s="184"/>
      <c r="E15" s="177" t="s">
        <v>61</v>
      </c>
      <c r="F15" s="169">
        <f t="shared" si="1"/>
        <v>5</v>
      </c>
    </row>
    <row r="16" spans="1:6" x14ac:dyDescent="0.25">
      <c r="A16" s="165">
        <f t="shared" si="0"/>
        <v>6</v>
      </c>
      <c r="B16" s="185"/>
      <c r="C16" s="84"/>
      <c r="D16" s="184"/>
      <c r="E16" s="177"/>
      <c r="F16" s="169">
        <f t="shared" si="1"/>
        <v>6</v>
      </c>
    </row>
    <row r="17" spans="1:8" x14ac:dyDescent="0.25">
      <c r="A17" s="165">
        <f t="shared" si="0"/>
        <v>7</v>
      </c>
      <c r="B17" s="186" t="s">
        <v>62</v>
      </c>
      <c r="C17" s="187">
        <f>C11+C13+C15+1</f>
        <v>3872.7885052260235</v>
      </c>
      <c r="D17" s="25" t="s">
        <v>31</v>
      </c>
      <c r="E17" s="188" t="s">
        <v>63</v>
      </c>
      <c r="F17" s="169">
        <f t="shared" si="1"/>
        <v>7</v>
      </c>
    </row>
    <row r="18" spans="1:8" x14ac:dyDescent="0.25">
      <c r="A18" s="165">
        <f t="shared" si="0"/>
        <v>8</v>
      </c>
      <c r="B18" s="189"/>
      <c r="C18" s="179"/>
      <c r="D18" s="180"/>
      <c r="E18" s="190"/>
      <c r="F18" s="169">
        <f t="shared" si="1"/>
        <v>8</v>
      </c>
    </row>
    <row r="19" spans="1:8" x14ac:dyDescent="0.25">
      <c r="A19" s="165">
        <f t="shared" si="0"/>
        <v>9</v>
      </c>
      <c r="B19" s="174" t="s">
        <v>36</v>
      </c>
      <c r="C19" s="181">
        <f>'Pg7 Rev Sec.4-TU'!N30</f>
        <v>1445.8594600894223</v>
      </c>
      <c r="D19" s="25" t="s">
        <v>31</v>
      </c>
      <c r="E19" s="177" t="s">
        <v>606</v>
      </c>
      <c r="F19" s="169">
        <f t="shared" si="1"/>
        <v>9</v>
      </c>
    </row>
    <row r="20" spans="1:8" x14ac:dyDescent="0.25">
      <c r="A20" s="165">
        <f t="shared" si="0"/>
        <v>10</v>
      </c>
      <c r="B20" s="174"/>
      <c r="C20" s="179"/>
      <c r="D20" s="180"/>
      <c r="E20" s="191"/>
      <c r="F20" s="169">
        <f t="shared" si="1"/>
        <v>10</v>
      </c>
    </row>
    <row r="21" spans="1:8" x14ac:dyDescent="0.25">
      <c r="A21" s="165">
        <f t="shared" si="0"/>
        <v>11</v>
      </c>
      <c r="B21" s="174" t="s">
        <v>38</v>
      </c>
      <c r="C21" s="529">
        <v>106.95449561636043</v>
      </c>
      <c r="D21" s="184"/>
      <c r="E21" s="188" t="s">
        <v>65</v>
      </c>
      <c r="F21" s="169">
        <f t="shared" si="1"/>
        <v>11</v>
      </c>
    </row>
    <row r="22" spans="1:8" x14ac:dyDescent="0.25">
      <c r="A22" s="165">
        <f t="shared" si="0"/>
        <v>12</v>
      </c>
      <c r="B22" s="185"/>
      <c r="C22" s="192"/>
      <c r="D22" s="193"/>
      <c r="E22" s="188"/>
      <c r="F22" s="169">
        <f t="shared" si="1"/>
        <v>12</v>
      </c>
    </row>
    <row r="23" spans="1:8" x14ac:dyDescent="0.25">
      <c r="A23" s="165">
        <f t="shared" si="0"/>
        <v>13</v>
      </c>
      <c r="B23" s="185" t="s">
        <v>40</v>
      </c>
      <c r="C23" s="79">
        <f>C17+C19+C21</f>
        <v>5425.6024609318065</v>
      </c>
      <c r="D23" s="25" t="s">
        <v>31</v>
      </c>
      <c r="E23" s="188" t="s">
        <v>66</v>
      </c>
      <c r="F23" s="169">
        <f t="shared" si="1"/>
        <v>13</v>
      </c>
    </row>
    <row r="24" spans="1:8" x14ac:dyDescent="0.25">
      <c r="A24" s="165">
        <f t="shared" si="0"/>
        <v>14</v>
      </c>
      <c r="B24" s="194"/>
      <c r="C24" s="75"/>
      <c r="D24" s="76"/>
      <c r="E24" s="188"/>
      <c r="F24" s="169">
        <f t="shared" si="1"/>
        <v>14</v>
      </c>
    </row>
    <row r="25" spans="1:8" x14ac:dyDescent="0.25">
      <c r="A25" s="165">
        <f t="shared" si="0"/>
        <v>15</v>
      </c>
      <c r="B25" s="183" t="s">
        <v>41</v>
      </c>
      <c r="C25" s="530">
        <v>-108.76044997079637</v>
      </c>
      <c r="D25" s="76"/>
      <c r="E25" s="188" t="s">
        <v>67</v>
      </c>
      <c r="F25" s="169">
        <f t="shared" si="1"/>
        <v>15</v>
      </c>
    </row>
    <row r="26" spans="1:8" x14ac:dyDescent="0.25">
      <c r="A26" s="165">
        <f t="shared" si="0"/>
        <v>16</v>
      </c>
      <c r="B26" s="163"/>
      <c r="C26" s="195"/>
      <c r="D26" s="196"/>
      <c r="E26" s="188"/>
      <c r="F26" s="169">
        <f t="shared" si="1"/>
        <v>16</v>
      </c>
    </row>
    <row r="27" spans="1:8" x14ac:dyDescent="0.25">
      <c r="A27" s="165">
        <f t="shared" si="0"/>
        <v>17</v>
      </c>
      <c r="B27" s="186" t="s">
        <v>43</v>
      </c>
      <c r="C27" s="197">
        <f>C23+C25</f>
        <v>5316.8420109610097</v>
      </c>
      <c r="D27" s="25" t="s">
        <v>31</v>
      </c>
      <c r="E27" s="188" t="s">
        <v>68</v>
      </c>
      <c r="F27" s="169">
        <f t="shared" si="1"/>
        <v>17</v>
      </c>
      <c r="H27" s="198"/>
    </row>
    <row r="28" spans="1:8" ht="17.25" thickTop="1" thickBot="1" x14ac:dyDescent="0.3">
      <c r="A28" s="165">
        <f t="shared" si="0"/>
        <v>18</v>
      </c>
      <c r="B28" s="199"/>
      <c r="C28" s="200"/>
      <c r="D28" s="242"/>
      <c r="E28" s="164"/>
      <c r="F28" s="169">
        <f t="shared" si="1"/>
        <v>18</v>
      </c>
    </row>
    <row r="30" spans="1:8" ht="16.5" thickBot="1" x14ac:dyDescent="0.3">
      <c r="A30" s="161"/>
      <c r="B30" s="201"/>
      <c r="C30" s="202"/>
      <c r="D30" s="202"/>
      <c r="E30" s="202"/>
      <c r="F30" s="161"/>
    </row>
    <row r="31" spans="1:8" x14ac:dyDescent="0.25">
      <c r="A31" s="165" t="s">
        <v>4</v>
      </c>
      <c r="B31" s="203"/>
      <c r="C31" s="167"/>
      <c r="D31" s="162"/>
      <c r="E31" s="162"/>
      <c r="F31" s="169" t="s">
        <v>4</v>
      </c>
    </row>
    <row r="32" spans="1:8" x14ac:dyDescent="0.25">
      <c r="A32" s="165" t="s">
        <v>5</v>
      </c>
      <c r="B32" s="371" t="s">
        <v>44</v>
      </c>
      <c r="C32" s="609" t="str">
        <f>C9</f>
        <v>Amounts</v>
      </c>
      <c r="D32" s="372"/>
      <c r="E32" s="372" t="str">
        <f>E9</f>
        <v>Reference</v>
      </c>
      <c r="F32" s="169" t="s">
        <v>5</v>
      </c>
    </row>
    <row r="33" spans="1:6" x14ac:dyDescent="0.25">
      <c r="A33" s="165">
        <f>A28+1</f>
        <v>19</v>
      </c>
      <c r="B33" s="204"/>
      <c r="C33" s="171"/>
      <c r="D33" s="172"/>
      <c r="E33" s="173"/>
      <c r="F33" s="169">
        <f>F28+1</f>
        <v>19</v>
      </c>
    </row>
    <row r="34" spans="1:6" x14ac:dyDescent="0.25">
      <c r="A34" s="165">
        <f>A33+1</f>
        <v>20</v>
      </c>
      <c r="B34" s="174" t="str">
        <f>B11</f>
        <v>Section 1 - Direct Maintenance Expense Cost Component</v>
      </c>
      <c r="C34" s="205">
        <f>C11/12</f>
        <v>5.2924052199203295</v>
      </c>
      <c r="D34" s="206"/>
      <c r="E34" s="177" t="str">
        <f>"Line "&amp;A11&amp;" / "&amp;C50&amp;" Months"</f>
        <v>Line 1 / 12 Months</v>
      </c>
      <c r="F34" s="169">
        <f>F33+1</f>
        <v>20</v>
      </c>
    </row>
    <row r="35" spans="1:6" x14ac:dyDescent="0.25">
      <c r="A35" s="165">
        <f t="shared" ref="A35:A53" si="2">A34+1</f>
        <v>21</v>
      </c>
      <c r="B35" s="178"/>
      <c r="C35" s="207"/>
      <c r="D35" s="208"/>
      <c r="E35" s="209"/>
      <c r="F35" s="169">
        <f t="shared" ref="F35:F53" si="3">F34+1</f>
        <v>21</v>
      </c>
    </row>
    <row r="36" spans="1:6" x14ac:dyDescent="0.25">
      <c r="A36" s="165">
        <f t="shared" si="2"/>
        <v>22</v>
      </c>
      <c r="B36" s="174" t="str">
        <f>B13</f>
        <v>Section 2 - Non-Direct Expense Cost Component</v>
      </c>
      <c r="C36" s="210">
        <f>C13/12</f>
        <v>244.47217368194114</v>
      </c>
      <c r="D36" s="25" t="s">
        <v>31</v>
      </c>
      <c r="E36" s="177" t="str">
        <f>"Line "&amp;A13&amp;" / "&amp;C50&amp;" Months"</f>
        <v>Line 3 / 12 Months</v>
      </c>
      <c r="F36" s="169">
        <f t="shared" si="3"/>
        <v>22</v>
      </c>
    </row>
    <row r="37" spans="1:6" x14ac:dyDescent="0.25">
      <c r="A37" s="165">
        <f t="shared" si="2"/>
        <v>23</v>
      </c>
      <c r="B37" s="178"/>
      <c r="C37" s="211"/>
      <c r="D37" s="212"/>
      <c r="E37" s="213"/>
      <c r="F37" s="169">
        <f t="shared" si="3"/>
        <v>23</v>
      </c>
    </row>
    <row r="38" spans="1:6" x14ac:dyDescent="0.25">
      <c r="A38" s="165">
        <f t="shared" si="2"/>
        <v>24</v>
      </c>
      <c r="B38" s="174" t="str">
        <f>B15</f>
        <v>Section 3 - Cost Component Containing Other Specific Expenses</v>
      </c>
      <c r="C38" s="531">
        <f>C15/12</f>
        <v>72.884463200307167</v>
      </c>
      <c r="D38" s="214"/>
      <c r="E38" s="177" t="str">
        <f>"Line "&amp;A15&amp;" / "&amp;C50&amp;" Months"</f>
        <v>Line 5 / 12 Months</v>
      </c>
      <c r="F38" s="169">
        <f t="shared" si="3"/>
        <v>24</v>
      </c>
    </row>
    <row r="39" spans="1:6" x14ac:dyDescent="0.25">
      <c r="A39" s="165">
        <f t="shared" si="2"/>
        <v>25</v>
      </c>
      <c r="B39" s="189"/>
      <c r="C39" s="215"/>
      <c r="D39" s="212"/>
      <c r="E39" s="177"/>
      <c r="F39" s="169">
        <f t="shared" si="3"/>
        <v>25</v>
      </c>
    </row>
    <row r="40" spans="1:6" x14ac:dyDescent="0.25">
      <c r="A40" s="165">
        <f t="shared" si="2"/>
        <v>26</v>
      </c>
      <c r="B40" s="186" t="s">
        <v>69</v>
      </c>
      <c r="C40" s="373">
        <f>C17/12</f>
        <v>322.73237543550198</v>
      </c>
      <c r="D40" s="25" t="s">
        <v>31</v>
      </c>
      <c r="E40" s="188" t="str">
        <f>"Sum Lines "&amp;A34&amp;", "&amp;A36&amp;", "&amp;A38</f>
        <v>Sum Lines 20, 22, 24</v>
      </c>
      <c r="F40" s="169">
        <f t="shared" si="3"/>
        <v>26</v>
      </c>
    </row>
    <row r="41" spans="1:6" x14ac:dyDescent="0.25">
      <c r="A41" s="165">
        <f t="shared" si="2"/>
        <v>27</v>
      </c>
      <c r="B41" s="204"/>
      <c r="C41" s="215"/>
      <c r="D41" s="212"/>
      <c r="E41" s="182"/>
      <c r="F41" s="169">
        <f t="shared" si="3"/>
        <v>27</v>
      </c>
    </row>
    <row r="42" spans="1:6" x14ac:dyDescent="0.25">
      <c r="A42" s="165">
        <f t="shared" si="2"/>
        <v>28</v>
      </c>
      <c r="B42" s="174" t="str">
        <f>LEFT(B19,45)</f>
        <v>Section 4 - True-Up Adjustment Cost Component</v>
      </c>
      <c r="C42" s="373">
        <f>C19/12</f>
        <v>120.48828834078519</v>
      </c>
      <c r="D42" s="25" t="s">
        <v>31</v>
      </c>
      <c r="E42" s="177" t="str">
        <f>"Line "&amp;A19&amp;" / "&amp;C50&amp;" Months"</f>
        <v>Line 9 / 12 Months</v>
      </c>
      <c r="F42" s="169">
        <f t="shared" si="3"/>
        <v>28</v>
      </c>
    </row>
    <row r="43" spans="1:6" x14ac:dyDescent="0.25">
      <c r="A43" s="165">
        <f t="shared" si="2"/>
        <v>29</v>
      </c>
      <c r="B43" s="174"/>
      <c r="C43" s="211"/>
      <c r="D43" s="212"/>
      <c r="E43" s="216"/>
      <c r="F43" s="169">
        <f t="shared" si="3"/>
        <v>29</v>
      </c>
    </row>
    <row r="44" spans="1:6" x14ac:dyDescent="0.25">
      <c r="A44" s="165">
        <f t="shared" si="2"/>
        <v>30</v>
      </c>
      <c r="B44" s="174" t="str">
        <f>B21</f>
        <v>Section 5 - Interest True-Up Adjustment Cost Component</v>
      </c>
      <c r="C44" s="374">
        <f>C21/12</f>
        <v>8.9128746346967027</v>
      </c>
      <c r="D44" s="375"/>
      <c r="E44" s="188" t="str">
        <f>"Line "&amp;A21&amp;" / "&amp;C50&amp;" Months"</f>
        <v>Line 11 / 12 Months</v>
      </c>
      <c r="F44" s="169">
        <f t="shared" si="3"/>
        <v>30</v>
      </c>
    </row>
    <row r="45" spans="1:6" x14ac:dyDescent="0.25">
      <c r="A45" s="165">
        <f t="shared" si="2"/>
        <v>31</v>
      </c>
      <c r="B45" s="189"/>
      <c r="C45" s="217"/>
      <c r="D45" s="28"/>
      <c r="E45" s="218"/>
      <c r="F45" s="169">
        <f t="shared" si="3"/>
        <v>31</v>
      </c>
    </row>
    <row r="46" spans="1:6" x14ac:dyDescent="0.25">
      <c r="A46" s="165">
        <f t="shared" si="2"/>
        <v>32</v>
      </c>
      <c r="B46" s="183" t="str">
        <f>B25</f>
        <v>Other Adjustments</v>
      </c>
      <c r="C46" s="531">
        <f>C25/12</f>
        <v>-9.0633708308996983</v>
      </c>
      <c r="D46" s="214"/>
      <c r="E46" s="188" t="str">
        <f>"Line "&amp;A25&amp;" / "&amp;C50&amp;" Months"</f>
        <v>Line 15 / 12 Months</v>
      </c>
      <c r="F46" s="169">
        <f t="shared" si="3"/>
        <v>32</v>
      </c>
    </row>
    <row r="47" spans="1:6" x14ac:dyDescent="0.25">
      <c r="A47" s="165">
        <f t="shared" si="2"/>
        <v>33</v>
      </c>
      <c r="B47" s="185"/>
      <c r="C47" s="217"/>
      <c r="D47" s="28"/>
      <c r="E47" s="218"/>
      <c r="F47" s="169">
        <f t="shared" si="3"/>
        <v>33</v>
      </c>
    </row>
    <row r="48" spans="1:6" ht="16.5" thickBot="1" x14ac:dyDescent="0.3">
      <c r="A48" s="165">
        <f t="shared" si="2"/>
        <v>34</v>
      </c>
      <c r="B48" s="185" t="s">
        <v>52</v>
      </c>
      <c r="C48" s="376">
        <f>C40+C42+C44+C46</f>
        <v>443.07016758008416</v>
      </c>
      <c r="D48" s="25" t="s">
        <v>31</v>
      </c>
      <c r="E48" s="188" t="str">
        <f>"Sum Lines "&amp;A40&amp;", "&amp;A42&amp;", "&amp;A44&amp;", "&amp;A46</f>
        <v>Sum Lines 26, 28, 30, 32</v>
      </c>
      <c r="F48" s="169">
        <f t="shared" si="3"/>
        <v>34</v>
      </c>
    </row>
    <row r="49" spans="1:6" ht="16.5" thickTop="1" x14ac:dyDescent="0.25">
      <c r="A49" s="165">
        <f t="shared" si="2"/>
        <v>35</v>
      </c>
      <c r="B49" s="204"/>
      <c r="C49" s="219"/>
      <c r="D49" s="220"/>
      <c r="E49" s="221"/>
      <c r="F49" s="169">
        <f t="shared" si="3"/>
        <v>35</v>
      </c>
    </row>
    <row r="50" spans="1:6" x14ac:dyDescent="0.25">
      <c r="A50" s="165">
        <f t="shared" si="2"/>
        <v>36</v>
      </c>
      <c r="B50" s="178" t="s">
        <v>15</v>
      </c>
      <c r="C50" s="532">
        <v>12</v>
      </c>
      <c r="D50" s="222"/>
      <c r="E50" s="221"/>
      <c r="F50" s="169">
        <f t="shared" si="3"/>
        <v>36</v>
      </c>
    </row>
    <row r="51" spans="1:6" x14ac:dyDescent="0.25">
      <c r="A51" s="165">
        <f t="shared" si="2"/>
        <v>37</v>
      </c>
      <c r="B51" s="204"/>
      <c r="C51" s="219"/>
      <c r="D51" s="220"/>
      <c r="E51" s="223"/>
      <c r="F51" s="169">
        <f t="shared" si="3"/>
        <v>37</v>
      </c>
    </row>
    <row r="52" spans="1:6" ht="16.5" thickBot="1" x14ac:dyDescent="0.3">
      <c r="A52" s="165">
        <f t="shared" si="2"/>
        <v>38</v>
      </c>
      <c r="B52" s="186" t="str">
        <f>B27</f>
        <v>Total Annual Costs</v>
      </c>
      <c r="C52" s="377">
        <f>C48*C50</f>
        <v>5316.8420109610097</v>
      </c>
      <c r="D52" s="25" t="s">
        <v>31</v>
      </c>
      <c r="E52" s="188" t="str">
        <f>"Line "&amp;A48&amp;" x Line "&amp;A50</f>
        <v>Line 34 x Line 36</v>
      </c>
      <c r="F52" s="169">
        <f t="shared" si="3"/>
        <v>38</v>
      </c>
    </row>
    <row r="53" spans="1:6" ht="17.25" thickTop="1" thickBot="1" x14ac:dyDescent="0.3">
      <c r="A53" s="165">
        <f t="shared" si="2"/>
        <v>39</v>
      </c>
      <c r="B53" s="164"/>
      <c r="C53" s="224"/>
      <c r="D53" s="378"/>
      <c r="E53" s="226"/>
      <c r="F53" s="169">
        <f t="shared" si="3"/>
        <v>39</v>
      </c>
    </row>
    <row r="56" spans="1:6" x14ac:dyDescent="0.25">
      <c r="A56" s="25" t="s">
        <v>31</v>
      </c>
      <c r="B56" s="23" t="s">
        <v>628</v>
      </c>
    </row>
    <row r="57" spans="1:6" x14ac:dyDescent="0.25">
      <c r="B57" s="23" t="s">
        <v>629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H60"/>
  <sheetViews>
    <sheetView zoomScale="80" zoomScaleNormal="80" workbookViewId="0"/>
  </sheetViews>
  <sheetFormatPr defaultColWidth="8.85546875" defaultRowHeight="15.75" x14ac:dyDescent="0.25"/>
  <cols>
    <col min="1" max="1" width="5.140625" style="36" customWidth="1"/>
    <col min="2" max="2" width="78.5703125" style="18" customWidth="1"/>
    <col min="3" max="3" width="16.85546875" style="18" customWidth="1"/>
    <col min="4" max="4" width="1.85546875" style="18" customWidth="1"/>
    <col min="5" max="5" width="58.85546875" style="18" customWidth="1"/>
    <col min="6" max="6" width="5.140625" style="36" customWidth="1"/>
    <col min="7" max="7" width="9.42578125" style="18" bestFit="1" customWidth="1"/>
    <col min="8" max="8" width="9.5703125" style="18" customWidth="1"/>
    <col min="9" max="16384" width="8.85546875" style="18"/>
  </cols>
  <sheetData>
    <row r="1" spans="1:6" x14ac:dyDescent="0.25">
      <c r="A1" s="691" t="s">
        <v>635</v>
      </c>
    </row>
    <row r="2" spans="1:6" x14ac:dyDescent="0.25">
      <c r="A2" s="161"/>
      <c r="B2" s="162"/>
      <c r="C2" s="162"/>
      <c r="D2" s="162"/>
      <c r="E2" s="370"/>
      <c r="F2" s="161"/>
    </row>
    <row r="3" spans="1:6" x14ac:dyDescent="0.25">
      <c r="A3" s="161"/>
      <c r="B3" s="801" t="s">
        <v>19</v>
      </c>
      <c r="C3" s="801"/>
      <c r="D3" s="801"/>
      <c r="E3" s="801"/>
      <c r="F3" s="162"/>
    </row>
    <row r="4" spans="1:6" x14ac:dyDescent="0.25">
      <c r="B4" s="801" t="s">
        <v>56</v>
      </c>
      <c r="C4" s="801"/>
      <c r="D4" s="801"/>
      <c r="E4" s="801"/>
      <c r="F4" s="158"/>
    </row>
    <row r="5" spans="1:6" x14ac:dyDescent="0.25">
      <c r="B5" s="801" t="s">
        <v>57</v>
      </c>
      <c r="C5" s="801"/>
      <c r="D5" s="801"/>
      <c r="E5" s="801"/>
      <c r="F5" s="158"/>
    </row>
    <row r="6" spans="1:6" x14ac:dyDescent="0.25">
      <c r="A6" s="161"/>
      <c r="B6" s="803" t="s">
        <v>58</v>
      </c>
      <c r="C6" s="803"/>
      <c r="D6" s="803"/>
      <c r="E6" s="803"/>
      <c r="F6" s="161"/>
    </row>
    <row r="7" spans="1:6" x14ac:dyDescent="0.25">
      <c r="B7" s="802" t="s">
        <v>3</v>
      </c>
      <c r="C7" s="801"/>
      <c r="D7" s="801"/>
      <c r="E7" s="801"/>
      <c r="F7" s="158"/>
    </row>
    <row r="8" spans="1:6" ht="16.5" thickBot="1" x14ac:dyDescent="0.3">
      <c r="A8" s="161"/>
      <c r="B8" s="162"/>
      <c r="C8" s="163"/>
      <c r="D8" s="164"/>
      <c r="E8" s="163"/>
      <c r="F8" s="161"/>
    </row>
    <row r="9" spans="1:6" x14ac:dyDescent="0.25">
      <c r="A9" s="165" t="s">
        <v>4</v>
      </c>
      <c r="B9" s="166"/>
      <c r="C9" s="167"/>
      <c r="D9" s="162"/>
      <c r="E9" s="168"/>
      <c r="F9" s="169" t="s">
        <v>4</v>
      </c>
    </row>
    <row r="10" spans="1:6" x14ac:dyDescent="0.25">
      <c r="A10" s="165" t="s">
        <v>5</v>
      </c>
      <c r="B10" s="756" t="s">
        <v>26</v>
      </c>
      <c r="C10" s="609" t="s">
        <v>7</v>
      </c>
      <c r="D10" s="372"/>
      <c r="E10" s="372" t="s">
        <v>8</v>
      </c>
      <c r="F10" s="169" t="s">
        <v>5</v>
      </c>
    </row>
    <row r="11" spans="1:6" x14ac:dyDescent="0.25">
      <c r="A11" s="165"/>
      <c r="B11" s="170"/>
      <c r="C11" s="171"/>
      <c r="D11" s="172"/>
      <c r="E11" s="173"/>
      <c r="F11" s="169"/>
    </row>
    <row r="12" spans="1:6" x14ac:dyDescent="0.25">
      <c r="A12" s="165">
        <v>1</v>
      </c>
      <c r="B12" s="174" t="s">
        <v>28</v>
      </c>
      <c r="C12" s="175">
        <v>63.508862639043954</v>
      </c>
      <c r="D12" s="176"/>
      <c r="E12" s="177" t="s">
        <v>59</v>
      </c>
      <c r="F12" s="169">
        <f>A12</f>
        <v>1</v>
      </c>
    </row>
    <row r="13" spans="1:6" x14ac:dyDescent="0.25">
      <c r="A13" s="165">
        <f>A12+1</f>
        <v>2</v>
      </c>
      <c r="B13" s="178"/>
      <c r="C13" s="179"/>
      <c r="D13" s="180"/>
      <c r="E13" s="162"/>
      <c r="F13" s="169">
        <f>F12+1</f>
        <v>2</v>
      </c>
    </row>
    <row r="14" spans="1:6" x14ac:dyDescent="0.25">
      <c r="A14" s="165">
        <f t="shared" ref="A14:A29" si="0">A13+1</f>
        <v>3</v>
      </c>
      <c r="B14" s="174" t="s">
        <v>30</v>
      </c>
      <c r="C14" s="181">
        <v>2905.1322341461005</v>
      </c>
      <c r="D14" s="25" t="s">
        <v>31</v>
      </c>
      <c r="E14" s="177" t="s">
        <v>60</v>
      </c>
      <c r="F14" s="169">
        <f t="shared" ref="F14:F29" si="1">F13+1</f>
        <v>3</v>
      </c>
    </row>
    <row r="15" spans="1:6" x14ac:dyDescent="0.25">
      <c r="A15" s="165">
        <f t="shared" si="0"/>
        <v>4</v>
      </c>
      <c r="B15" s="178"/>
      <c r="C15" s="179"/>
      <c r="D15" s="180"/>
      <c r="E15" s="182"/>
      <c r="F15" s="169">
        <f t="shared" si="1"/>
        <v>4</v>
      </c>
    </row>
    <row r="16" spans="1:6" x14ac:dyDescent="0.25">
      <c r="A16" s="165">
        <f t="shared" si="0"/>
        <v>5</v>
      </c>
      <c r="B16" s="183" t="s">
        <v>33</v>
      </c>
      <c r="C16" s="529">
        <v>874.61355840368606</v>
      </c>
      <c r="D16" s="184"/>
      <c r="E16" s="177" t="s">
        <v>61</v>
      </c>
      <c r="F16" s="169">
        <f t="shared" si="1"/>
        <v>5</v>
      </c>
    </row>
    <row r="17" spans="1:8" x14ac:dyDescent="0.25">
      <c r="A17" s="165">
        <f t="shared" si="0"/>
        <v>6</v>
      </c>
      <c r="B17" s="185"/>
      <c r="C17" s="84"/>
      <c r="D17" s="184"/>
      <c r="E17" s="177"/>
      <c r="F17" s="169">
        <f t="shared" si="1"/>
        <v>6</v>
      </c>
    </row>
    <row r="18" spans="1:8" x14ac:dyDescent="0.25">
      <c r="A18" s="165">
        <f t="shared" si="0"/>
        <v>7</v>
      </c>
      <c r="B18" s="186" t="s">
        <v>62</v>
      </c>
      <c r="C18" s="187">
        <f>C12+C14+C16+1</f>
        <v>3844.2546551888304</v>
      </c>
      <c r="D18" s="25" t="s">
        <v>31</v>
      </c>
      <c r="E18" s="188" t="s">
        <v>63</v>
      </c>
      <c r="F18" s="169">
        <f t="shared" si="1"/>
        <v>7</v>
      </c>
    </row>
    <row r="19" spans="1:8" x14ac:dyDescent="0.25">
      <c r="A19" s="165">
        <f t="shared" si="0"/>
        <v>8</v>
      </c>
      <c r="B19" s="189"/>
      <c r="C19" s="179"/>
      <c r="D19" s="180"/>
      <c r="E19" s="190"/>
      <c r="F19" s="169">
        <f t="shared" si="1"/>
        <v>8</v>
      </c>
    </row>
    <row r="20" spans="1:8" x14ac:dyDescent="0.25">
      <c r="A20" s="165">
        <f t="shared" si="0"/>
        <v>9</v>
      </c>
      <c r="B20" s="174" t="s">
        <v>36</v>
      </c>
      <c r="C20" s="181">
        <v>1416.7889456022599</v>
      </c>
      <c r="D20" s="25" t="s">
        <v>31</v>
      </c>
      <c r="E20" s="177" t="s">
        <v>64</v>
      </c>
      <c r="F20" s="169">
        <f t="shared" si="1"/>
        <v>9</v>
      </c>
    </row>
    <row r="21" spans="1:8" x14ac:dyDescent="0.25">
      <c r="A21" s="165">
        <f t="shared" si="0"/>
        <v>10</v>
      </c>
      <c r="B21" s="174"/>
      <c r="C21" s="179"/>
      <c r="D21" s="180"/>
      <c r="E21" s="191"/>
      <c r="F21" s="169">
        <f t="shared" si="1"/>
        <v>10</v>
      </c>
    </row>
    <row r="22" spans="1:8" x14ac:dyDescent="0.25">
      <c r="A22" s="165">
        <f t="shared" si="0"/>
        <v>11</v>
      </c>
      <c r="B22" s="174" t="s">
        <v>38</v>
      </c>
      <c r="C22" s="529">
        <v>106.95449561636043</v>
      </c>
      <c r="D22" s="184"/>
      <c r="E22" s="188" t="s">
        <v>65</v>
      </c>
      <c r="F22" s="169">
        <f t="shared" si="1"/>
        <v>11</v>
      </c>
    </row>
    <row r="23" spans="1:8" x14ac:dyDescent="0.25">
      <c r="A23" s="165">
        <f t="shared" si="0"/>
        <v>12</v>
      </c>
      <c r="B23" s="185"/>
      <c r="C23" s="192"/>
      <c r="D23" s="193"/>
      <c r="E23" s="188"/>
      <c r="F23" s="169">
        <f t="shared" si="1"/>
        <v>12</v>
      </c>
    </row>
    <row r="24" spans="1:8" x14ac:dyDescent="0.25">
      <c r="A24" s="165">
        <f t="shared" si="0"/>
        <v>13</v>
      </c>
      <c r="B24" s="185" t="s">
        <v>40</v>
      </c>
      <c r="C24" s="79">
        <f>C18+C20+C22</f>
        <v>5367.9980964074512</v>
      </c>
      <c r="D24" s="25" t="s">
        <v>31</v>
      </c>
      <c r="E24" s="188" t="s">
        <v>66</v>
      </c>
      <c r="F24" s="169">
        <f t="shared" si="1"/>
        <v>13</v>
      </c>
      <c r="G24" s="755"/>
    </row>
    <row r="25" spans="1:8" x14ac:dyDescent="0.25">
      <c r="A25" s="165">
        <f t="shared" si="0"/>
        <v>14</v>
      </c>
      <c r="B25" s="194"/>
      <c r="C25" s="75"/>
      <c r="D25" s="76"/>
      <c r="E25" s="188"/>
      <c r="F25" s="169">
        <f t="shared" si="1"/>
        <v>14</v>
      </c>
    </row>
    <row r="26" spans="1:8" x14ac:dyDescent="0.25">
      <c r="A26" s="165">
        <f t="shared" si="0"/>
        <v>15</v>
      </c>
      <c r="B26" s="183" t="s">
        <v>41</v>
      </c>
      <c r="C26" s="530">
        <v>-108.76044997079637</v>
      </c>
      <c r="D26" s="76"/>
      <c r="E26" s="188" t="s">
        <v>67</v>
      </c>
      <c r="F26" s="169">
        <f t="shared" si="1"/>
        <v>15</v>
      </c>
    </row>
    <row r="27" spans="1:8" x14ac:dyDescent="0.25">
      <c r="A27" s="165">
        <f t="shared" si="0"/>
        <v>16</v>
      </c>
      <c r="B27" s="163"/>
      <c r="C27" s="195"/>
      <c r="D27" s="196"/>
      <c r="E27" s="188"/>
      <c r="F27" s="169">
        <f t="shared" si="1"/>
        <v>16</v>
      </c>
    </row>
    <row r="28" spans="1:8" ht="16.5" thickBot="1" x14ac:dyDescent="0.3">
      <c r="A28" s="165">
        <f t="shared" si="0"/>
        <v>17</v>
      </c>
      <c r="B28" s="186" t="s">
        <v>43</v>
      </c>
      <c r="C28" s="197">
        <f>C24+C26</f>
        <v>5259.2376464366544</v>
      </c>
      <c r="D28" s="25" t="s">
        <v>31</v>
      </c>
      <c r="E28" s="188" t="s">
        <v>68</v>
      </c>
      <c r="F28" s="169">
        <f t="shared" si="1"/>
        <v>17</v>
      </c>
      <c r="H28" s="198"/>
    </row>
    <row r="29" spans="1:8" ht="17.25" thickTop="1" thickBot="1" x14ac:dyDescent="0.3">
      <c r="A29" s="165">
        <f t="shared" si="0"/>
        <v>18</v>
      </c>
      <c r="B29" s="199"/>
      <c r="C29" s="200"/>
      <c r="D29" s="242"/>
      <c r="E29" s="164"/>
      <c r="F29" s="169">
        <f t="shared" si="1"/>
        <v>18</v>
      </c>
    </row>
    <row r="31" spans="1:8" ht="16.5" thickBot="1" x14ac:dyDescent="0.3">
      <c r="A31" s="161"/>
      <c r="B31" s="201"/>
      <c r="C31" s="202"/>
      <c r="D31" s="202"/>
      <c r="E31" s="202"/>
      <c r="F31" s="161"/>
    </row>
    <row r="32" spans="1:8" x14ac:dyDescent="0.25">
      <c r="A32" s="165" t="s">
        <v>4</v>
      </c>
      <c r="B32" s="203"/>
      <c r="C32" s="167"/>
      <c r="D32" s="162"/>
      <c r="E32" s="162"/>
      <c r="F32" s="169" t="s">
        <v>4</v>
      </c>
    </row>
    <row r="33" spans="1:6" x14ac:dyDescent="0.25">
      <c r="A33" s="165" t="s">
        <v>5</v>
      </c>
      <c r="B33" s="756" t="s">
        <v>44</v>
      </c>
      <c r="C33" s="609" t="str">
        <f>C10</f>
        <v>Amounts</v>
      </c>
      <c r="D33" s="372"/>
      <c r="E33" s="372" t="str">
        <f>E10</f>
        <v>Reference</v>
      </c>
      <c r="F33" s="169" t="s">
        <v>5</v>
      </c>
    </row>
    <row r="34" spans="1:6" x14ac:dyDescent="0.25">
      <c r="A34" s="165">
        <f>A29+1</f>
        <v>19</v>
      </c>
      <c r="B34" s="204"/>
      <c r="C34" s="171"/>
      <c r="D34" s="172"/>
      <c r="E34" s="173"/>
      <c r="F34" s="169">
        <f>F29+1</f>
        <v>19</v>
      </c>
    </row>
    <row r="35" spans="1:6" x14ac:dyDescent="0.25">
      <c r="A35" s="165">
        <f>A34+1</f>
        <v>20</v>
      </c>
      <c r="B35" s="174" t="str">
        <f>B12</f>
        <v>Section 1 - Direct Maintenance Expense Cost Component</v>
      </c>
      <c r="C35" s="757">
        <f>C12/12</f>
        <v>5.2924052199203295</v>
      </c>
      <c r="D35" s="25" t="s">
        <v>31</v>
      </c>
      <c r="E35" s="177" t="str">
        <f>"Line "&amp;A12&amp;" / "&amp;C51&amp;" Months"</f>
        <v>Line 1 / 12 Months</v>
      </c>
      <c r="F35" s="169">
        <f>F34+1</f>
        <v>20</v>
      </c>
    </row>
    <row r="36" spans="1:6" x14ac:dyDescent="0.25">
      <c r="A36" s="165">
        <f t="shared" ref="A36:A54" si="2">A35+1</f>
        <v>21</v>
      </c>
      <c r="B36" s="178"/>
      <c r="C36" s="207"/>
      <c r="D36" s="208"/>
      <c r="E36" s="209"/>
      <c r="F36" s="169">
        <f t="shared" ref="F36:F54" si="3">F35+1</f>
        <v>21</v>
      </c>
    </row>
    <row r="37" spans="1:6" x14ac:dyDescent="0.25">
      <c r="A37" s="165">
        <f t="shared" si="2"/>
        <v>22</v>
      </c>
      <c r="B37" s="174" t="str">
        <f>B14</f>
        <v>Section 2 - Non-Direct Expense Cost Component</v>
      </c>
      <c r="C37" s="210">
        <f>C14/12</f>
        <v>242.09435284550838</v>
      </c>
      <c r="D37" s="25" t="s">
        <v>31</v>
      </c>
      <c r="E37" s="177" t="str">
        <f>"Line "&amp;A14&amp;" / "&amp;C51&amp;" Months"</f>
        <v>Line 3 / 12 Months</v>
      </c>
      <c r="F37" s="169">
        <f t="shared" si="3"/>
        <v>22</v>
      </c>
    </row>
    <row r="38" spans="1:6" x14ac:dyDescent="0.25">
      <c r="A38" s="165">
        <f t="shared" si="2"/>
        <v>23</v>
      </c>
      <c r="B38" s="178"/>
      <c r="C38" s="211"/>
      <c r="D38" s="212"/>
      <c r="E38" s="213"/>
      <c r="F38" s="169">
        <f t="shared" si="3"/>
        <v>23</v>
      </c>
    </row>
    <row r="39" spans="1:6" x14ac:dyDescent="0.25">
      <c r="A39" s="165">
        <f t="shared" si="2"/>
        <v>24</v>
      </c>
      <c r="B39" s="174" t="str">
        <f>B16</f>
        <v>Section 3 - Cost Component Containing Other Specific Expenses</v>
      </c>
      <c r="C39" s="758">
        <f>C16/12</f>
        <v>72.884463200307167</v>
      </c>
      <c r="D39" s="25" t="s">
        <v>31</v>
      </c>
      <c r="E39" s="177" t="str">
        <f>"Line "&amp;A16&amp;" / "&amp;C51&amp;" Months"</f>
        <v>Line 5 / 12 Months</v>
      </c>
      <c r="F39" s="169">
        <f t="shared" si="3"/>
        <v>24</v>
      </c>
    </row>
    <row r="40" spans="1:6" x14ac:dyDescent="0.25">
      <c r="A40" s="165">
        <f t="shared" si="2"/>
        <v>25</v>
      </c>
      <c r="B40" s="189"/>
      <c r="C40" s="215"/>
      <c r="D40" s="212"/>
      <c r="E40" s="177"/>
      <c r="F40" s="169">
        <f t="shared" si="3"/>
        <v>25</v>
      </c>
    </row>
    <row r="41" spans="1:6" x14ac:dyDescent="0.25">
      <c r="A41" s="165">
        <f t="shared" si="2"/>
        <v>26</v>
      </c>
      <c r="B41" s="186" t="s">
        <v>69</v>
      </c>
      <c r="C41" s="373">
        <f>C18/12</f>
        <v>320.35455459906922</v>
      </c>
      <c r="D41" s="25" t="s">
        <v>31</v>
      </c>
      <c r="E41" s="188" t="str">
        <f>"Sum Lines "&amp;A35&amp;", "&amp;A37&amp;", "&amp;A39</f>
        <v>Sum Lines 20, 22, 24</v>
      </c>
      <c r="F41" s="169">
        <f t="shared" si="3"/>
        <v>26</v>
      </c>
    </row>
    <row r="42" spans="1:6" x14ac:dyDescent="0.25">
      <c r="A42" s="165">
        <f t="shared" si="2"/>
        <v>27</v>
      </c>
      <c r="B42" s="204"/>
      <c r="C42" s="215"/>
      <c r="D42" s="212"/>
      <c r="E42" s="182"/>
      <c r="F42" s="169">
        <f t="shared" si="3"/>
        <v>27</v>
      </c>
    </row>
    <row r="43" spans="1:6" x14ac:dyDescent="0.25">
      <c r="A43" s="165">
        <f t="shared" si="2"/>
        <v>28</v>
      </c>
      <c r="B43" s="174" t="str">
        <f>LEFT(B20,45)</f>
        <v>Section 4 - True-Up Adjustment Cost Component</v>
      </c>
      <c r="C43" s="373">
        <f>C20/12</f>
        <v>118.06574546685499</v>
      </c>
      <c r="D43" s="25" t="s">
        <v>31</v>
      </c>
      <c r="E43" s="177" t="str">
        <f>"Line "&amp;A20&amp;" / "&amp;C51&amp;" Months"</f>
        <v>Line 9 / 12 Months</v>
      </c>
      <c r="F43" s="169">
        <f t="shared" si="3"/>
        <v>28</v>
      </c>
    </row>
    <row r="44" spans="1:6" x14ac:dyDescent="0.25">
      <c r="A44" s="165">
        <f t="shared" si="2"/>
        <v>29</v>
      </c>
      <c r="B44" s="174"/>
      <c r="C44" s="211"/>
      <c r="D44" s="212"/>
      <c r="E44" s="216"/>
      <c r="F44" s="169">
        <f t="shared" si="3"/>
        <v>29</v>
      </c>
    </row>
    <row r="45" spans="1:6" x14ac:dyDescent="0.25">
      <c r="A45" s="165">
        <f t="shared" si="2"/>
        <v>30</v>
      </c>
      <c r="B45" s="174" t="str">
        <f>B22</f>
        <v>Section 5 - Interest True-Up Adjustment Cost Component</v>
      </c>
      <c r="C45" s="374">
        <f>C22/12</f>
        <v>8.9128746346967027</v>
      </c>
      <c r="D45" s="375"/>
      <c r="E45" s="188" t="str">
        <f>"Line "&amp;A22&amp;" / "&amp;C51&amp;" Months"</f>
        <v>Line 11 / 12 Months</v>
      </c>
      <c r="F45" s="169">
        <f t="shared" si="3"/>
        <v>30</v>
      </c>
    </row>
    <row r="46" spans="1:6" x14ac:dyDescent="0.25">
      <c r="A46" s="165">
        <f t="shared" si="2"/>
        <v>31</v>
      </c>
      <c r="B46" s="189"/>
      <c r="C46" s="217"/>
      <c r="D46" s="28"/>
      <c r="E46" s="218"/>
      <c r="F46" s="169">
        <f t="shared" si="3"/>
        <v>31</v>
      </c>
    </row>
    <row r="47" spans="1:6" x14ac:dyDescent="0.25">
      <c r="A47" s="165">
        <f t="shared" si="2"/>
        <v>32</v>
      </c>
      <c r="B47" s="183" t="str">
        <f>B26</f>
        <v>Other Adjustments</v>
      </c>
      <c r="C47" s="531">
        <f>C26/12</f>
        <v>-9.0633708308996983</v>
      </c>
      <c r="D47" s="214"/>
      <c r="E47" s="188" t="str">
        <f>"Line "&amp;A26&amp;" / "&amp;C51&amp;" Months"</f>
        <v>Line 15 / 12 Months</v>
      </c>
      <c r="F47" s="169">
        <f t="shared" si="3"/>
        <v>32</v>
      </c>
    </row>
    <row r="48" spans="1:6" x14ac:dyDescent="0.25">
      <c r="A48" s="165">
        <f t="shared" si="2"/>
        <v>33</v>
      </c>
      <c r="B48" s="185"/>
      <c r="C48" s="217"/>
      <c r="D48" s="28"/>
      <c r="E48" s="218"/>
      <c r="F48" s="169">
        <f t="shared" si="3"/>
        <v>33</v>
      </c>
    </row>
    <row r="49" spans="1:6" ht="16.5" thickBot="1" x14ac:dyDescent="0.3">
      <c r="A49" s="165">
        <f t="shared" si="2"/>
        <v>34</v>
      </c>
      <c r="B49" s="185" t="s">
        <v>52</v>
      </c>
      <c r="C49" s="376">
        <f>C41+C43+C45+C47</f>
        <v>438.26980386972122</v>
      </c>
      <c r="D49" s="25" t="s">
        <v>31</v>
      </c>
      <c r="E49" s="188" t="str">
        <f>"Sum Lines "&amp;A41&amp;", "&amp;A43&amp;", "&amp;A45&amp;", "&amp;A47</f>
        <v>Sum Lines 26, 28, 30, 32</v>
      </c>
      <c r="F49" s="169">
        <f t="shared" si="3"/>
        <v>34</v>
      </c>
    </row>
    <row r="50" spans="1:6" ht="16.5" thickTop="1" x14ac:dyDescent="0.25">
      <c r="A50" s="165">
        <f t="shared" si="2"/>
        <v>35</v>
      </c>
      <c r="B50" s="204"/>
      <c r="C50" s="219"/>
      <c r="D50" s="220"/>
      <c r="E50" s="221"/>
      <c r="F50" s="169">
        <f t="shared" si="3"/>
        <v>35</v>
      </c>
    </row>
    <row r="51" spans="1:6" x14ac:dyDescent="0.25">
      <c r="A51" s="165">
        <f t="shared" si="2"/>
        <v>36</v>
      </c>
      <c r="B51" s="178" t="s">
        <v>15</v>
      </c>
      <c r="C51" s="532">
        <v>12</v>
      </c>
      <c r="D51" s="222"/>
      <c r="E51" s="221"/>
      <c r="F51" s="169">
        <f t="shared" si="3"/>
        <v>36</v>
      </c>
    </row>
    <row r="52" spans="1:6" x14ac:dyDescent="0.25">
      <c r="A52" s="165">
        <f t="shared" si="2"/>
        <v>37</v>
      </c>
      <c r="B52" s="204"/>
      <c r="C52" s="219"/>
      <c r="D52" s="220"/>
      <c r="E52" s="223"/>
      <c r="F52" s="169">
        <f t="shared" si="3"/>
        <v>37</v>
      </c>
    </row>
    <row r="53" spans="1:6" ht="16.5" thickBot="1" x14ac:dyDescent="0.3">
      <c r="A53" s="165">
        <f t="shared" si="2"/>
        <v>38</v>
      </c>
      <c r="B53" s="186" t="str">
        <f>B28</f>
        <v>Total Annual Costs</v>
      </c>
      <c r="C53" s="377">
        <f>C49*C51</f>
        <v>5259.2376464366544</v>
      </c>
      <c r="D53" s="25" t="s">
        <v>31</v>
      </c>
      <c r="E53" s="188" t="str">
        <f>"Line "&amp;A49&amp;" x Line "&amp;A51</f>
        <v>Line 34 x Line 36</v>
      </c>
      <c r="F53" s="169">
        <f t="shared" si="3"/>
        <v>38</v>
      </c>
    </row>
    <row r="54" spans="1:6" ht="17.25" thickTop="1" thickBot="1" x14ac:dyDescent="0.3">
      <c r="A54" s="165">
        <f t="shared" si="2"/>
        <v>39</v>
      </c>
      <c r="B54" s="164"/>
      <c r="C54" s="224"/>
      <c r="D54" s="378"/>
      <c r="E54" s="226"/>
      <c r="F54" s="169">
        <f t="shared" si="3"/>
        <v>39</v>
      </c>
    </row>
    <row r="56" spans="1:6" x14ac:dyDescent="0.25">
      <c r="A56" s="25" t="s">
        <v>31</v>
      </c>
      <c r="B56" s="23" t="s">
        <v>598</v>
      </c>
    </row>
    <row r="57" spans="1:6" x14ac:dyDescent="0.25">
      <c r="B57" s="23" t="s">
        <v>599</v>
      </c>
    </row>
    <row r="59" spans="1:6" x14ac:dyDescent="0.25">
      <c r="B59" s="23"/>
    </row>
    <row r="60" spans="1:6" x14ac:dyDescent="0.25">
      <c r="B60" s="23"/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1" orientation="portrait" r:id="rId1"/>
  <headerFooter scaleWithDoc="0" alignWithMargins="0">
    <oddHeader xml:space="preserve">&amp;C&amp;"Times New Roman,Bold"&amp;7AS FILED SUMMARY WITH COST ADJ. INCL. IN APPENDIX X CYCLE 11 (ER23-109)
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4"/>
  <sheetViews>
    <sheetView zoomScale="80" zoomScaleNormal="80" workbookViewId="0"/>
  </sheetViews>
  <sheetFormatPr defaultColWidth="8.85546875" defaultRowHeight="15.75" x14ac:dyDescent="0.25"/>
  <cols>
    <col min="1" max="1" width="5.140625" style="36" customWidth="1"/>
    <col min="2" max="2" width="73.140625" style="18" bestFit="1" customWidth="1"/>
    <col min="3" max="3" width="14.85546875" style="18" customWidth="1"/>
    <col min="4" max="4" width="51.140625" style="18" bestFit="1" customWidth="1"/>
    <col min="5" max="5" width="5.140625" style="36" customWidth="1"/>
    <col min="6" max="16384" width="8.85546875" style="18"/>
  </cols>
  <sheetData>
    <row r="1" spans="1:7" x14ac:dyDescent="0.25">
      <c r="A1" s="691" t="s">
        <v>589</v>
      </c>
    </row>
    <row r="2" spans="1:7" x14ac:dyDescent="0.25">
      <c r="A2" s="161"/>
      <c r="B2" s="162"/>
      <c r="C2" s="162"/>
      <c r="D2" s="162"/>
      <c r="E2" s="161"/>
    </row>
    <row r="3" spans="1:7" x14ac:dyDescent="0.25">
      <c r="A3" s="161"/>
      <c r="B3" s="801" t="s">
        <v>19</v>
      </c>
      <c r="C3" s="801"/>
      <c r="D3" s="801"/>
      <c r="E3" s="162"/>
    </row>
    <row r="4" spans="1:7" x14ac:dyDescent="0.25">
      <c r="B4" s="801" t="s">
        <v>56</v>
      </c>
      <c r="C4" s="801"/>
      <c r="D4" s="801"/>
      <c r="E4" s="158"/>
    </row>
    <row r="5" spans="1:7" x14ac:dyDescent="0.25">
      <c r="B5" s="801" t="s">
        <v>57</v>
      </c>
      <c r="C5" s="801"/>
      <c r="D5" s="801"/>
      <c r="E5" s="158"/>
    </row>
    <row r="6" spans="1:7" x14ac:dyDescent="0.25">
      <c r="A6" s="161"/>
      <c r="B6" s="803" t="s">
        <v>58</v>
      </c>
      <c r="C6" s="803"/>
      <c r="D6" s="803"/>
      <c r="E6" s="161"/>
    </row>
    <row r="7" spans="1:7" x14ac:dyDescent="0.25">
      <c r="B7" s="802" t="s">
        <v>3</v>
      </c>
      <c r="C7" s="801"/>
      <c r="D7" s="801"/>
      <c r="E7" s="158"/>
    </row>
    <row r="8" spans="1:7" ht="16.5" thickBot="1" x14ac:dyDescent="0.3">
      <c r="A8" s="161"/>
      <c r="B8" s="162"/>
      <c r="C8" s="163"/>
      <c r="D8" s="163"/>
      <c r="E8" s="161"/>
    </row>
    <row r="9" spans="1:7" x14ac:dyDescent="0.25">
      <c r="A9" s="165" t="s">
        <v>4</v>
      </c>
      <c r="B9" s="166"/>
      <c r="C9" s="227"/>
      <c r="D9" s="228"/>
      <c r="E9" s="169" t="s">
        <v>4</v>
      </c>
    </row>
    <row r="10" spans="1:7" x14ac:dyDescent="0.25">
      <c r="A10" s="165" t="s">
        <v>5</v>
      </c>
      <c r="B10" s="371" t="s">
        <v>26</v>
      </c>
      <c r="C10" s="371" t="s">
        <v>7</v>
      </c>
      <c r="D10" s="528" t="s">
        <v>8</v>
      </c>
      <c r="E10" s="169" t="s">
        <v>5</v>
      </c>
    </row>
    <row r="11" spans="1:7" x14ac:dyDescent="0.25">
      <c r="A11" s="165"/>
      <c r="B11" s="170"/>
      <c r="C11" s="229"/>
      <c r="D11" s="230"/>
      <c r="E11" s="169"/>
    </row>
    <row r="12" spans="1:7" x14ac:dyDescent="0.25">
      <c r="A12" s="165">
        <v>1</v>
      </c>
      <c r="B12" s="174" t="s">
        <v>28</v>
      </c>
      <c r="C12" s="231">
        <v>63.510368096713613</v>
      </c>
      <c r="D12" s="232" t="s">
        <v>59</v>
      </c>
      <c r="E12" s="169">
        <f>A12</f>
        <v>1</v>
      </c>
      <c r="G12" s="21"/>
    </row>
    <row r="13" spans="1:7" x14ac:dyDescent="0.25">
      <c r="A13" s="165">
        <f>A12+1</f>
        <v>2</v>
      </c>
      <c r="B13" s="178"/>
      <c r="C13" s="233"/>
      <c r="D13" s="234"/>
      <c r="E13" s="169">
        <f>E12+1</f>
        <v>2</v>
      </c>
    </row>
    <row r="14" spans="1:7" x14ac:dyDescent="0.25">
      <c r="A14" s="165">
        <f t="shared" ref="A14:A29" si="0">A13+1</f>
        <v>3</v>
      </c>
      <c r="B14" s="174" t="s">
        <v>30</v>
      </c>
      <c r="C14" s="235">
        <v>2905.8703000085202</v>
      </c>
      <c r="D14" s="232" t="s">
        <v>60</v>
      </c>
      <c r="E14" s="169">
        <f t="shared" ref="E14:E29" si="1">E13+1</f>
        <v>3</v>
      </c>
      <c r="G14" s="27"/>
    </row>
    <row r="15" spans="1:7" x14ac:dyDescent="0.25">
      <c r="A15" s="165">
        <f t="shared" si="0"/>
        <v>4</v>
      </c>
      <c r="B15" s="178"/>
      <c r="C15" s="233"/>
      <c r="D15" s="236"/>
      <c r="E15" s="169">
        <f t="shared" si="1"/>
        <v>4</v>
      </c>
    </row>
    <row r="16" spans="1:7" x14ac:dyDescent="0.25">
      <c r="A16" s="165">
        <f t="shared" si="0"/>
        <v>5</v>
      </c>
      <c r="B16" s="183" t="s">
        <v>33</v>
      </c>
      <c r="C16" s="529">
        <v>874.62452639739217</v>
      </c>
      <c r="D16" s="177" t="s">
        <v>61</v>
      </c>
      <c r="E16" s="169">
        <f t="shared" si="1"/>
        <v>5</v>
      </c>
      <c r="G16" s="27"/>
    </row>
    <row r="17" spans="1:9" x14ac:dyDescent="0.25">
      <c r="A17" s="165">
        <f t="shared" si="0"/>
        <v>6</v>
      </c>
      <c r="B17" s="185"/>
      <c r="C17" s="84"/>
      <c r="D17" s="177"/>
      <c r="E17" s="169">
        <f t="shared" si="1"/>
        <v>6</v>
      </c>
      <c r="G17" s="27"/>
    </row>
    <row r="18" spans="1:9" x14ac:dyDescent="0.25">
      <c r="A18" s="165">
        <f t="shared" si="0"/>
        <v>7</v>
      </c>
      <c r="B18" s="186" t="s">
        <v>35</v>
      </c>
      <c r="C18" s="237">
        <f>C12+C14+C16+1</f>
        <v>3845.0051945026262</v>
      </c>
      <c r="D18" s="188" t="s">
        <v>63</v>
      </c>
      <c r="E18" s="169">
        <f t="shared" si="1"/>
        <v>7</v>
      </c>
      <c r="G18" s="27"/>
    </row>
    <row r="19" spans="1:9" x14ac:dyDescent="0.25">
      <c r="A19" s="165">
        <f t="shared" si="0"/>
        <v>8</v>
      </c>
      <c r="B19" s="189"/>
      <c r="C19" s="233"/>
      <c r="D19" s="238"/>
      <c r="E19" s="169">
        <f t="shared" si="1"/>
        <v>8</v>
      </c>
    </row>
    <row r="20" spans="1:9" x14ac:dyDescent="0.25">
      <c r="A20" s="165">
        <f t="shared" si="0"/>
        <v>9</v>
      </c>
      <c r="B20" s="174" t="s">
        <v>36</v>
      </c>
      <c r="C20" s="239">
        <v>1417.5536010541682</v>
      </c>
      <c r="D20" s="177" t="s">
        <v>64</v>
      </c>
      <c r="E20" s="169">
        <f t="shared" si="1"/>
        <v>9</v>
      </c>
    </row>
    <row r="21" spans="1:9" x14ac:dyDescent="0.25">
      <c r="A21" s="165">
        <f t="shared" si="0"/>
        <v>10</v>
      </c>
      <c r="B21" s="174"/>
      <c r="C21" s="233"/>
      <c r="D21" s="240"/>
      <c r="E21" s="169">
        <f t="shared" si="1"/>
        <v>10</v>
      </c>
    </row>
    <row r="22" spans="1:9" x14ac:dyDescent="0.25">
      <c r="A22" s="165">
        <f t="shared" si="0"/>
        <v>11</v>
      </c>
      <c r="B22" s="174" t="s">
        <v>38</v>
      </c>
      <c r="C22" s="529">
        <v>106.95449561636043</v>
      </c>
      <c r="D22" s="188" t="s">
        <v>65</v>
      </c>
      <c r="E22" s="169">
        <f t="shared" si="1"/>
        <v>11</v>
      </c>
    </row>
    <row r="23" spans="1:9" x14ac:dyDescent="0.25">
      <c r="A23" s="165">
        <f t="shared" si="0"/>
        <v>12</v>
      </c>
      <c r="B23" s="185"/>
      <c r="C23" s="192"/>
      <c r="D23" s="241"/>
      <c r="E23" s="169">
        <f t="shared" si="1"/>
        <v>12</v>
      </c>
    </row>
    <row r="24" spans="1:9" x14ac:dyDescent="0.25">
      <c r="A24" s="165">
        <f t="shared" si="0"/>
        <v>13</v>
      </c>
      <c r="B24" s="185" t="s">
        <v>40</v>
      </c>
      <c r="C24" s="74">
        <f>C18+C20+C22</f>
        <v>5369.5132911731553</v>
      </c>
      <c r="D24" s="188" t="s">
        <v>66</v>
      </c>
      <c r="E24" s="169">
        <f t="shared" si="1"/>
        <v>13</v>
      </c>
      <c r="G24" s="27"/>
    </row>
    <row r="25" spans="1:9" x14ac:dyDescent="0.25">
      <c r="A25" s="165">
        <f t="shared" si="0"/>
        <v>14</v>
      </c>
      <c r="B25" s="194"/>
      <c r="C25" s="75"/>
      <c r="D25" s="188"/>
      <c r="E25" s="169">
        <f t="shared" si="1"/>
        <v>14</v>
      </c>
      <c r="G25" s="27"/>
    </row>
    <row r="26" spans="1:9" x14ac:dyDescent="0.25">
      <c r="A26" s="165">
        <f t="shared" si="0"/>
        <v>15</v>
      </c>
      <c r="B26" s="183" t="s">
        <v>41</v>
      </c>
      <c r="C26" s="530">
        <v>-108.76044997079637</v>
      </c>
      <c r="D26" s="188" t="s">
        <v>67</v>
      </c>
      <c r="E26" s="169">
        <f t="shared" si="1"/>
        <v>15</v>
      </c>
      <c r="G26" s="27"/>
    </row>
    <row r="27" spans="1:9" x14ac:dyDescent="0.25">
      <c r="A27" s="165">
        <f t="shared" si="0"/>
        <v>16</v>
      </c>
      <c r="B27" s="163"/>
      <c r="C27" s="195"/>
      <c r="D27" s="241"/>
      <c r="E27" s="169">
        <f t="shared" si="1"/>
        <v>16</v>
      </c>
    </row>
    <row r="28" spans="1:9" ht="16.5" thickBot="1" x14ac:dyDescent="0.3">
      <c r="A28" s="165">
        <f t="shared" si="0"/>
        <v>17</v>
      </c>
      <c r="B28" s="186" t="s">
        <v>43</v>
      </c>
      <c r="C28" s="197">
        <f>C24+C26</f>
        <v>5260.7528412023585</v>
      </c>
      <c r="D28" s="241" t="s">
        <v>68</v>
      </c>
      <c r="E28" s="169">
        <f t="shared" si="1"/>
        <v>17</v>
      </c>
      <c r="H28" s="21"/>
      <c r="I28" s="198"/>
    </row>
    <row r="29" spans="1:9" ht="17.25" thickTop="1" thickBot="1" x14ac:dyDescent="0.3">
      <c r="A29" s="165">
        <f t="shared" si="0"/>
        <v>18</v>
      </c>
      <c r="B29" s="199"/>
      <c r="C29" s="199"/>
      <c r="D29" s="242"/>
      <c r="E29" s="169">
        <f t="shared" si="1"/>
        <v>18</v>
      </c>
    </row>
    <row r="31" spans="1:9" ht="16.5" thickBot="1" x14ac:dyDescent="0.3">
      <c r="A31" s="161"/>
      <c r="B31" s="201"/>
      <c r="C31" s="202"/>
      <c r="D31" s="202"/>
      <c r="E31" s="161"/>
    </row>
    <row r="32" spans="1:9" x14ac:dyDescent="0.25">
      <c r="A32" s="165" t="s">
        <v>4</v>
      </c>
      <c r="B32" s="203"/>
      <c r="C32" s="203"/>
      <c r="D32" s="234"/>
      <c r="E32" s="169" t="s">
        <v>4</v>
      </c>
    </row>
    <row r="33" spans="1:5" x14ac:dyDescent="0.25">
      <c r="A33" s="165" t="s">
        <v>5</v>
      </c>
      <c r="B33" s="371" t="s">
        <v>44</v>
      </c>
      <c r="C33" s="371" t="str">
        <f>C10</f>
        <v>Amounts</v>
      </c>
      <c r="D33" s="528" t="str">
        <f>D10</f>
        <v>Reference</v>
      </c>
      <c r="E33" s="169" t="s">
        <v>5</v>
      </c>
    </row>
    <row r="34" spans="1:5" x14ac:dyDescent="0.25">
      <c r="A34" s="165">
        <f>A29+1</f>
        <v>19</v>
      </c>
      <c r="B34" s="204"/>
      <c r="C34" s="229"/>
      <c r="D34" s="230"/>
      <c r="E34" s="169">
        <f>E29+1</f>
        <v>19</v>
      </c>
    </row>
    <row r="35" spans="1:5" x14ac:dyDescent="0.25">
      <c r="A35" s="165">
        <f>A34+1</f>
        <v>20</v>
      </c>
      <c r="B35" s="174" t="str">
        <f>B12</f>
        <v>Section 1 - Direct Maintenance Expense Cost Component</v>
      </c>
      <c r="C35" s="243">
        <f>C12/12</f>
        <v>5.2925306747261347</v>
      </c>
      <c r="D35" s="232" t="str">
        <f>"Line "&amp;A12&amp;" / "&amp;C51&amp;" Months"</f>
        <v>Line 1 / 12 Months</v>
      </c>
      <c r="E35" s="169">
        <f>E34+1</f>
        <v>20</v>
      </c>
    </row>
    <row r="36" spans="1:5" x14ac:dyDescent="0.25">
      <c r="A36" s="165">
        <f t="shared" ref="A36:A54" si="2">A35+1</f>
        <v>21</v>
      </c>
      <c r="B36" s="178"/>
      <c r="C36" s="244"/>
      <c r="D36" s="245"/>
      <c r="E36" s="169">
        <f t="shared" ref="E36:E54" si="3">E35+1</f>
        <v>21</v>
      </c>
    </row>
    <row r="37" spans="1:5" x14ac:dyDescent="0.25">
      <c r="A37" s="165">
        <f t="shared" si="2"/>
        <v>22</v>
      </c>
      <c r="B37" s="174" t="str">
        <f>B14</f>
        <v>Section 2 - Non-Direct Expense Cost Component</v>
      </c>
      <c r="C37" s="246">
        <f>C14/12</f>
        <v>242.15585833404336</v>
      </c>
      <c r="D37" s="232" t="str">
        <f>"Line "&amp;A14&amp;" / "&amp;C51&amp;" Months"</f>
        <v>Line 3 / 12 Months</v>
      </c>
      <c r="E37" s="169">
        <f t="shared" si="3"/>
        <v>22</v>
      </c>
    </row>
    <row r="38" spans="1:5" x14ac:dyDescent="0.25">
      <c r="A38" s="165">
        <f t="shared" si="2"/>
        <v>23</v>
      </c>
      <c r="B38" s="178"/>
      <c r="C38" s="247"/>
      <c r="D38" s="248"/>
      <c r="E38" s="169">
        <f t="shared" si="3"/>
        <v>23</v>
      </c>
    </row>
    <row r="39" spans="1:5" x14ac:dyDescent="0.25">
      <c r="A39" s="165">
        <f t="shared" si="2"/>
        <v>24</v>
      </c>
      <c r="B39" s="174" t="str">
        <f>B16</f>
        <v>Section 3 - Cost Component Containing Other Specific Expenses</v>
      </c>
      <c r="C39" s="531">
        <f>C16/12</f>
        <v>72.885377199782681</v>
      </c>
      <c r="D39" s="232" t="str">
        <f>"Line "&amp;A16&amp;" / "&amp;C51&amp;" Months"</f>
        <v>Line 5 / 12 Months</v>
      </c>
      <c r="E39" s="169">
        <f t="shared" si="3"/>
        <v>24</v>
      </c>
    </row>
    <row r="40" spans="1:5" x14ac:dyDescent="0.25">
      <c r="A40" s="165">
        <f t="shared" si="2"/>
        <v>25</v>
      </c>
      <c r="B40" s="189"/>
      <c r="C40" s="249"/>
      <c r="D40" s="232"/>
      <c r="E40" s="169">
        <f t="shared" si="3"/>
        <v>25</v>
      </c>
    </row>
    <row r="41" spans="1:5" x14ac:dyDescent="0.25">
      <c r="A41" s="165">
        <f t="shared" si="2"/>
        <v>26</v>
      </c>
      <c r="B41" s="186" t="s">
        <v>48</v>
      </c>
      <c r="C41" s="379">
        <f>C18/12</f>
        <v>320.41709954188553</v>
      </c>
      <c r="D41" s="188" t="str">
        <f>"Sum Lines "&amp;A35&amp;", "&amp;A37&amp;", "&amp;A39</f>
        <v>Sum Lines 20, 22, 24</v>
      </c>
      <c r="E41" s="169">
        <f t="shared" si="3"/>
        <v>26</v>
      </c>
    </row>
    <row r="42" spans="1:5" x14ac:dyDescent="0.25">
      <c r="A42" s="165">
        <f t="shared" si="2"/>
        <v>27</v>
      </c>
      <c r="B42" s="204"/>
      <c r="C42" s="247"/>
      <c r="D42" s="236"/>
      <c r="E42" s="169">
        <f t="shared" si="3"/>
        <v>27</v>
      </c>
    </row>
    <row r="43" spans="1:5" x14ac:dyDescent="0.25">
      <c r="A43" s="165">
        <f t="shared" si="2"/>
        <v>28</v>
      </c>
      <c r="B43" s="174" t="str">
        <f>LEFT(B20,45)</f>
        <v>Section 4 - True-Up Adjustment Cost Component</v>
      </c>
      <c r="C43" s="379">
        <f>C20/12</f>
        <v>118.12946675451401</v>
      </c>
      <c r="D43" s="232" t="str">
        <f>"Line "&amp;A20&amp;" / "&amp;C51&amp;" Months"</f>
        <v>Line 9 / 12 Months</v>
      </c>
      <c r="E43" s="169">
        <f t="shared" si="3"/>
        <v>28</v>
      </c>
    </row>
    <row r="44" spans="1:5" x14ac:dyDescent="0.25">
      <c r="A44" s="165">
        <f t="shared" si="2"/>
        <v>29</v>
      </c>
      <c r="B44" s="174"/>
      <c r="C44" s="247"/>
      <c r="D44" s="250"/>
      <c r="E44" s="169">
        <f t="shared" si="3"/>
        <v>29</v>
      </c>
    </row>
    <row r="45" spans="1:5" x14ac:dyDescent="0.25">
      <c r="A45" s="165">
        <f t="shared" si="2"/>
        <v>30</v>
      </c>
      <c r="B45" s="174" t="str">
        <f>B22</f>
        <v>Section 5 - Interest True-Up Adjustment Cost Component</v>
      </c>
      <c r="C45" s="380">
        <f>C22/12</f>
        <v>8.9128746346967027</v>
      </c>
      <c r="D45" s="241" t="str">
        <f>"Line "&amp;A22&amp;" / "&amp;C51&amp;" Months"</f>
        <v>Line 11 / 12 Months</v>
      </c>
      <c r="E45" s="169">
        <f t="shared" si="3"/>
        <v>30</v>
      </c>
    </row>
    <row r="46" spans="1:5" x14ac:dyDescent="0.25">
      <c r="A46" s="165">
        <f t="shared" si="2"/>
        <v>31</v>
      </c>
      <c r="B46" s="189"/>
      <c r="C46" s="217"/>
      <c r="D46" s="251"/>
      <c r="E46" s="169">
        <f t="shared" si="3"/>
        <v>31</v>
      </c>
    </row>
    <row r="47" spans="1:5" x14ac:dyDescent="0.25">
      <c r="A47" s="165">
        <f t="shared" si="2"/>
        <v>32</v>
      </c>
      <c r="B47" s="183" t="str">
        <f>B26</f>
        <v>Other Adjustments</v>
      </c>
      <c r="C47" s="531">
        <f>C26/12</f>
        <v>-9.0633708308996983</v>
      </c>
      <c r="D47" s="241" t="str">
        <f>"Line "&amp;A26&amp;" / "&amp;C51&amp;" Months"</f>
        <v>Line 15 / 12 Months</v>
      </c>
      <c r="E47" s="169">
        <f t="shared" si="3"/>
        <v>32</v>
      </c>
    </row>
    <row r="48" spans="1:5" x14ac:dyDescent="0.25">
      <c r="A48" s="165">
        <f t="shared" si="2"/>
        <v>33</v>
      </c>
      <c r="B48" s="185"/>
      <c r="C48" s="217"/>
      <c r="D48" s="218"/>
      <c r="E48" s="169">
        <f t="shared" si="3"/>
        <v>33</v>
      </c>
    </row>
    <row r="49" spans="1:5" ht="16.5" thickBot="1" x14ac:dyDescent="0.3">
      <c r="A49" s="165">
        <f t="shared" si="2"/>
        <v>34</v>
      </c>
      <c r="B49" s="185" t="s">
        <v>52</v>
      </c>
      <c r="C49" s="376">
        <f>C41+C43+C45+C47</f>
        <v>438.39607010019654</v>
      </c>
      <c r="D49" s="188" t="str">
        <f>"Sum Lines "&amp;A41&amp;", "&amp;A43&amp;", "&amp;A45&amp;", "&amp;A47</f>
        <v>Sum Lines 26, 28, 30, 32</v>
      </c>
      <c r="E49" s="169">
        <f t="shared" si="3"/>
        <v>34</v>
      </c>
    </row>
    <row r="50" spans="1:5" ht="16.5" thickTop="1" x14ac:dyDescent="0.25">
      <c r="A50" s="165">
        <f t="shared" si="2"/>
        <v>35</v>
      </c>
      <c r="B50" s="204"/>
      <c r="C50" s="219"/>
      <c r="D50" s="252"/>
      <c r="E50" s="169">
        <f t="shared" si="3"/>
        <v>35</v>
      </c>
    </row>
    <row r="51" spans="1:5" x14ac:dyDescent="0.25">
      <c r="A51" s="165">
        <f t="shared" si="2"/>
        <v>36</v>
      </c>
      <c r="B51" s="178" t="s">
        <v>15</v>
      </c>
      <c r="C51" s="532">
        <v>12</v>
      </c>
      <c r="D51" s="252"/>
      <c r="E51" s="169">
        <f t="shared" si="3"/>
        <v>36</v>
      </c>
    </row>
    <row r="52" spans="1:5" x14ac:dyDescent="0.25">
      <c r="A52" s="165">
        <f t="shared" si="2"/>
        <v>37</v>
      </c>
      <c r="B52" s="204"/>
      <c r="C52" s="219"/>
      <c r="D52" s="253"/>
      <c r="E52" s="169">
        <f t="shared" si="3"/>
        <v>37</v>
      </c>
    </row>
    <row r="53" spans="1:5" ht="16.5" thickBot="1" x14ac:dyDescent="0.3">
      <c r="A53" s="165">
        <f t="shared" si="2"/>
        <v>38</v>
      </c>
      <c r="B53" s="186" t="str">
        <f>B28</f>
        <v>Total Annual Costs</v>
      </c>
      <c r="C53" s="381">
        <f>C49*C51</f>
        <v>5260.7528412023585</v>
      </c>
      <c r="D53" s="241" t="str">
        <f>"Line "&amp;A49&amp;" x Line "&amp;A51</f>
        <v>Line 34 x Line 36</v>
      </c>
      <c r="E53" s="169">
        <f t="shared" si="3"/>
        <v>38</v>
      </c>
    </row>
    <row r="54" spans="1:5" ht="17.25" thickTop="1" thickBot="1" x14ac:dyDescent="0.3">
      <c r="A54" s="165">
        <f t="shared" si="2"/>
        <v>39</v>
      </c>
      <c r="B54" s="164"/>
      <c r="C54" s="224"/>
      <c r="D54" s="254"/>
      <c r="E54" s="169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Roman,Bold"&amp;8AS FILED</oddHeader>
    <oddFooter>&amp;L&amp;F&amp;CPage 4.1&amp;R&amp;A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3"/>
  <sheetViews>
    <sheetView zoomScale="80" zoomScaleNormal="80" workbookViewId="0"/>
  </sheetViews>
  <sheetFormatPr defaultColWidth="8.85546875" defaultRowHeight="15.75" x14ac:dyDescent="0.25"/>
  <cols>
    <col min="1" max="1" width="5.140625" style="37" customWidth="1"/>
    <col min="2" max="2" width="84.42578125" style="18" customWidth="1"/>
    <col min="3" max="3" width="10.42578125" style="18" customWidth="1"/>
    <col min="4" max="4" width="1.5703125" style="18" customWidth="1"/>
    <col min="5" max="5" width="16.85546875" style="18" customWidth="1"/>
    <col min="6" max="6" width="1.5703125" style="18" customWidth="1"/>
    <col min="7" max="7" width="43.42578125" style="18" customWidth="1"/>
    <col min="8" max="8" width="5.140625" style="36" customWidth="1"/>
    <col min="9" max="9" width="8.85546875" style="18"/>
    <col min="10" max="10" width="9.85546875" style="18" customWidth="1"/>
    <col min="11" max="16384" width="8.85546875" style="18"/>
  </cols>
  <sheetData>
    <row r="1" spans="1:8" x14ac:dyDescent="0.25">
      <c r="A1" s="388"/>
      <c r="B1" s="389"/>
      <c r="C1" s="389"/>
      <c r="D1" s="389"/>
      <c r="E1" s="390"/>
      <c r="F1" s="390"/>
      <c r="G1" s="611"/>
      <c r="H1" s="161"/>
    </row>
    <row r="2" spans="1:8" x14ac:dyDescent="0.25">
      <c r="A2" s="388"/>
      <c r="B2" s="806" t="s">
        <v>19</v>
      </c>
      <c r="C2" s="806"/>
      <c r="D2" s="806"/>
      <c r="E2" s="806"/>
      <c r="F2" s="806"/>
      <c r="G2" s="806"/>
      <c r="H2" s="161"/>
    </row>
    <row r="3" spans="1:8" x14ac:dyDescent="0.25">
      <c r="B3" s="806" t="s">
        <v>56</v>
      </c>
      <c r="C3" s="806"/>
      <c r="D3" s="806"/>
      <c r="E3" s="806"/>
      <c r="F3" s="806"/>
      <c r="G3" s="806"/>
      <c r="H3" s="388"/>
    </row>
    <row r="4" spans="1:8" x14ac:dyDescent="0.25">
      <c r="B4" s="806" t="s">
        <v>70</v>
      </c>
      <c r="C4" s="806"/>
      <c r="D4" s="806"/>
      <c r="E4" s="806"/>
      <c r="F4" s="806"/>
      <c r="G4" s="806"/>
      <c r="H4" s="388"/>
    </row>
    <row r="5" spans="1:8" x14ac:dyDescent="0.25">
      <c r="B5" s="807" t="s">
        <v>71</v>
      </c>
      <c r="C5" s="807"/>
      <c r="D5" s="807"/>
      <c r="E5" s="807"/>
      <c r="F5" s="807"/>
      <c r="G5" s="807"/>
      <c r="H5" s="388"/>
    </row>
    <row r="6" spans="1:8" x14ac:dyDescent="0.25">
      <c r="B6" s="804" t="s">
        <v>3</v>
      </c>
      <c r="C6" s="804"/>
      <c r="D6" s="804"/>
      <c r="E6" s="804"/>
      <c r="F6" s="804"/>
      <c r="G6" s="804"/>
      <c r="H6" s="391"/>
    </row>
    <row r="7" spans="1:8" x14ac:dyDescent="0.25">
      <c r="A7" s="392"/>
      <c r="B7" s="606"/>
      <c r="C7" s="606"/>
      <c r="D7" s="606"/>
      <c r="E7" s="606"/>
      <c r="F7" s="606"/>
      <c r="G7" s="390"/>
      <c r="H7" s="161"/>
    </row>
    <row r="8" spans="1:8" x14ac:dyDescent="0.25">
      <c r="A8" s="393" t="s">
        <v>4</v>
      </c>
      <c r="B8" s="389"/>
      <c r="C8" s="389"/>
      <c r="D8" s="389"/>
      <c r="E8" s="606"/>
      <c r="F8" s="606"/>
      <c r="G8" s="389"/>
      <c r="H8" s="393" t="s">
        <v>4</v>
      </c>
    </row>
    <row r="9" spans="1:8" x14ac:dyDescent="0.25">
      <c r="A9" s="393" t="s">
        <v>5</v>
      </c>
      <c r="B9" s="389"/>
      <c r="C9" s="389"/>
      <c r="D9" s="389"/>
      <c r="E9" s="612" t="s">
        <v>7</v>
      </c>
      <c r="F9" s="394"/>
      <c r="G9" s="612" t="s">
        <v>8</v>
      </c>
      <c r="H9" s="393" t="s">
        <v>5</v>
      </c>
    </row>
    <row r="10" spans="1:8" x14ac:dyDescent="0.25">
      <c r="A10" s="393"/>
      <c r="B10" s="389"/>
      <c r="C10" s="389"/>
      <c r="D10" s="389"/>
      <c r="E10" s="606"/>
      <c r="F10" s="394"/>
      <c r="G10" s="606"/>
      <c r="H10" s="393"/>
    </row>
    <row r="11" spans="1:8" x14ac:dyDescent="0.25">
      <c r="A11" s="393">
        <v>1</v>
      </c>
      <c r="B11" s="395" t="s">
        <v>72</v>
      </c>
      <c r="C11" s="395"/>
      <c r="D11" s="395"/>
      <c r="E11" s="390"/>
      <c r="F11" s="390"/>
      <c r="G11" s="606"/>
      <c r="H11" s="393">
        <f>A11</f>
        <v>1</v>
      </c>
    </row>
    <row r="12" spans="1:8" x14ac:dyDescent="0.25">
      <c r="A12" s="393">
        <f>A11+1</f>
        <v>2</v>
      </c>
      <c r="B12" s="396" t="s">
        <v>73</v>
      </c>
      <c r="C12" s="397"/>
      <c r="D12" s="397"/>
      <c r="E12" s="401">
        <f>E56</f>
        <v>8.1106772546305286E-3</v>
      </c>
      <c r="F12" s="25"/>
      <c r="G12" s="398" t="str">
        <f>"Page 2; Line "&amp;A56</f>
        <v>Page 2; Line 6</v>
      </c>
      <c r="H12" s="393">
        <f>H11+1</f>
        <v>2</v>
      </c>
    </row>
    <row r="13" spans="1:8" x14ac:dyDescent="0.25">
      <c r="A13" s="393">
        <f t="shared" ref="A13:A35" si="0">A12+1</f>
        <v>3</v>
      </c>
      <c r="B13" s="389"/>
      <c r="C13" s="399"/>
      <c r="D13" s="399"/>
      <c r="E13" s="400"/>
      <c r="F13" s="394"/>
      <c r="G13" s="398"/>
      <c r="H13" s="393">
        <f t="shared" ref="H13:H35" si="1">H12+1</f>
        <v>3</v>
      </c>
    </row>
    <row r="14" spans="1:8" x14ac:dyDescent="0.25">
      <c r="A14" s="393">
        <f t="shared" si="0"/>
        <v>4</v>
      </c>
      <c r="B14" s="396" t="s">
        <v>74</v>
      </c>
      <c r="C14" s="397"/>
      <c r="D14" s="397"/>
      <c r="E14" s="708">
        <f>E61</f>
        <v>9.1575175065333036E-3</v>
      </c>
      <c r="F14" s="25" t="s">
        <v>31</v>
      </c>
      <c r="G14" s="398" t="str">
        <f>"Page 2; Line "&amp;A61</f>
        <v>Page 2; Line 11</v>
      </c>
      <c r="H14" s="393">
        <f t="shared" si="1"/>
        <v>4</v>
      </c>
    </row>
    <row r="15" spans="1:8" x14ac:dyDescent="0.25">
      <c r="A15" s="393">
        <f t="shared" si="0"/>
        <v>5</v>
      </c>
      <c r="B15" s="390"/>
      <c r="C15" s="392"/>
      <c r="D15" s="392"/>
      <c r="E15" s="403"/>
      <c r="F15" s="404"/>
      <c r="G15" s="398"/>
      <c r="H15" s="393">
        <f t="shared" si="1"/>
        <v>5</v>
      </c>
    </row>
    <row r="16" spans="1:8" x14ac:dyDescent="0.25">
      <c r="A16" s="393">
        <f t="shared" si="0"/>
        <v>6</v>
      </c>
      <c r="B16" s="390" t="s">
        <v>75</v>
      </c>
      <c r="C16" s="392"/>
      <c r="D16" s="392"/>
      <c r="E16" s="401">
        <f>E66</f>
        <v>1.0623916722634533E-2</v>
      </c>
      <c r="F16" s="404"/>
      <c r="G16" s="398" t="str">
        <f>"Page 2; Line "&amp;A66</f>
        <v>Page 2; Line 16</v>
      </c>
      <c r="H16" s="393">
        <f t="shared" si="1"/>
        <v>6</v>
      </c>
    </row>
    <row r="17" spans="1:8" x14ac:dyDescent="0.25">
      <c r="A17" s="393">
        <f t="shared" si="0"/>
        <v>7</v>
      </c>
      <c r="B17" s="390"/>
      <c r="C17" s="392"/>
      <c r="D17" s="392"/>
      <c r="E17" s="403"/>
      <c r="F17" s="404"/>
      <c r="G17" s="398"/>
      <c r="H17" s="393">
        <f t="shared" si="1"/>
        <v>7</v>
      </c>
    </row>
    <row r="18" spans="1:8" x14ac:dyDescent="0.25">
      <c r="A18" s="393">
        <f t="shared" si="0"/>
        <v>8</v>
      </c>
      <c r="B18" s="396" t="s">
        <v>76</v>
      </c>
      <c r="C18" s="397"/>
      <c r="D18" s="397"/>
      <c r="E18" s="401">
        <f>E71</f>
        <v>3.269614673830928E-4</v>
      </c>
      <c r="F18" s="402"/>
      <c r="G18" s="398" t="str">
        <f>"Page 2; Line "&amp;A71</f>
        <v>Page 2; Line 21</v>
      </c>
      <c r="H18" s="393">
        <f t="shared" si="1"/>
        <v>8</v>
      </c>
    </row>
    <row r="19" spans="1:8" x14ac:dyDescent="0.25">
      <c r="A19" s="393">
        <f t="shared" si="0"/>
        <v>9</v>
      </c>
      <c r="B19" s="389"/>
      <c r="C19" s="399"/>
      <c r="D19" s="399"/>
      <c r="E19" s="400"/>
      <c r="F19" s="394"/>
      <c r="G19" s="398"/>
      <c r="H19" s="393">
        <f t="shared" si="1"/>
        <v>9</v>
      </c>
    </row>
    <row r="20" spans="1:8" x14ac:dyDescent="0.25">
      <c r="A20" s="393">
        <f t="shared" si="0"/>
        <v>10</v>
      </c>
      <c r="B20" s="396" t="s">
        <v>77</v>
      </c>
      <c r="C20" s="399"/>
      <c r="D20" s="399"/>
      <c r="E20" s="708">
        <f>E84</f>
        <v>1.8504305247178635E-3</v>
      </c>
      <c r="F20" s="25" t="s">
        <v>31</v>
      </c>
      <c r="G20" s="398" t="str">
        <f>"Page 2; Line "&amp;A84</f>
        <v>Page 2; Line 34</v>
      </c>
      <c r="H20" s="393">
        <f t="shared" si="1"/>
        <v>10</v>
      </c>
    </row>
    <row r="21" spans="1:8" x14ac:dyDescent="0.25">
      <c r="A21" s="393">
        <f t="shared" si="0"/>
        <v>11</v>
      </c>
      <c r="B21" s="389"/>
      <c r="C21" s="399"/>
      <c r="D21" s="399"/>
      <c r="E21" s="400"/>
      <c r="F21" s="394"/>
      <c r="G21" s="398"/>
      <c r="H21" s="393">
        <f t="shared" si="1"/>
        <v>11</v>
      </c>
    </row>
    <row r="22" spans="1:8" x14ac:dyDescent="0.25">
      <c r="A22" s="393">
        <f t="shared" si="0"/>
        <v>12</v>
      </c>
      <c r="B22" s="396" t="s">
        <v>78</v>
      </c>
      <c r="C22" s="397"/>
      <c r="D22" s="397"/>
      <c r="E22" s="401">
        <f>E101</f>
        <v>4.0153996716824911E-3</v>
      </c>
      <c r="F22" s="402"/>
      <c r="G22" s="398" t="str">
        <f>"Page 2; Line "&amp;A101</f>
        <v>Page 2; Line 51</v>
      </c>
      <c r="H22" s="393">
        <f t="shared" si="1"/>
        <v>12</v>
      </c>
    </row>
    <row r="23" spans="1:8" x14ac:dyDescent="0.25">
      <c r="A23" s="393">
        <f t="shared" si="0"/>
        <v>13</v>
      </c>
      <c r="B23" s="405"/>
      <c r="C23" s="406"/>
      <c r="D23" s="406"/>
      <c r="E23" s="407"/>
      <c r="F23" s="408"/>
      <c r="G23" s="398"/>
      <c r="H23" s="393">
        <f t="shared" si="1"/>
        <v>13</v>
      </c>
    </row>
    <row r="24" spans="1:8" x14ac:dyDescent="0.25">
      <c r="A24" s="393">
        <f t="shared" si="0"/>
        <v>14</v>
      </c>
      <c r="B24" s="396" t="s">
        <v>79</v>
      </c>
      <c r="C24" s="397"/>
      <c r="D24" s="397"/>
      <c r="E24" s="773">
        <f>SUM(E12:E22)</f>
        <v>3.4084903147581815E-2</v>
      </c>
      <c r="F24" s="25" t="s">
        <v>31</v>
      </c>
      <c r="G24" s="398" t="str">
        <f>"Sum Lines "&amp;A12&amp;" thru "&amp;A22&amp;""</f>
        <v>Sum Lines 2 thru 12</v>
      </c>
      <c r="H24" s="393">
        <f t="shared" si="1"/>
        <v>14</v>
      </c>
    </row>
    <row r="25" spans="1:8" x14ac:dyDescent="0.25">
      <c r="A25" s="393">
        <f t="shared" si="0"/>
        <v>15</v>
      </c>
      <c r="B25" s="389"/>
      <c r="C25" s="399"/>
      <c r="D25" s="399"/>
      <c r="E25" s="409"/>
      <c r="F25" s="410"/>
      <c r="G25" s="398"/>
      <c r="H25" s="393">
        <f t="shared" si="1"/>
        <v>15</v>
      </c>
    </row>
    <row r="26" spans="1:8" x14ac:dyDescent="0.25">
      <c r="A26" s="393">
        <f t="shared" si="0"/>
        <v>16</v>
      </c>
      <c r="B26" s="390" t="s">
        <v>80</v>
      </c>
      <c r="C26" s="411">
        <v>1.0274999999999999E-2</v>
      </c>
      <c r="D26" s="399"/>
      <c r="E26" s="796">
        <f>E24*C26</f>
        <v>3.5022237984140314E-4</v>
      </c>
      <c r="F26" s="25" t="s">
        <v>31</v>
      </c>
      <c r="G26" s="398" t="str">
        <f>"Line "&amp;A24&amp;" x Franchise Fee Rate"</f>
        <v>Line 14 x Franchise Fee Rate</v>
      </c>
      <c r="H26" s="393">
        <f t="shared" si="1"/>
        <v>16</v>
      </c>
    </row>
    <row r="27" spans="1:8" x14ac:dyDescent="0.25">
      <c r="A27" s="393">
        <f t="shared" si="0"/>
        <v>17</v>
      </c>
      <c r="B27" s="389"/>
      <c r="C27" s="399"/>
      <c r="D27" s="399"/>
      <c r="E27" s="414"/>
      <c r="F27" s="415"/>
      <c r="G27" s="398"/>
      <c r="H27" s="393">
        <f t="shared" si="1"/>
        <v>17</v>
      </c>
    </row>
    <row r="28" spans="1:8" ht="16.5" thickBot="1" x14ac:dyDescent="0.3">
      <c r="A28" s="393">
        <f t="shared" si="0"/>
        <v>18</v>
      </c>
      <c r="B28" s="389" t="s">
        <v>81</v>
      </c>
      <c r="C28" s="399"/>
      <c r="D28" s="399"/>
      <c r="E28" s="774">
        <f>E24+E26</f>
        <v>3.443512552742322E-2</v>
      </c>
      <c r="F28" s="25" t="s">
        <v>31</v>
      </c>
      <c r="G28" s="398" t="str">
        <f>"Line "&amp;A24&amp;" + Line "&amp;A26</f>
        <v>Line 14 + Line 16</v>
      </c>
      <c r="H28" s="393">
        <f t="shared" si="1"/>
        <v>18</v>
      </c>
    </row>
    <row r="29" spans="1:8" ht="16.5" thickTop="1" x14ac:dyDescent="0.25">
      <c r="A29" s="393">
        <f t="shared" si="0"/>
        <v>19</v>
      </c>
      <c r="B29" s="390"/>
      <c r="C29" s="392"/>
      <c r="D29" s="392"/>
      <c r="E29" s="399"/>
      <c r="F29" s="389"/>
      <c r="G29" s="389"/>
      <c r="H29" s="393">
        <f t="shared" si="1"/>
        <v>19</v>
      </c>
    </row>
    <row r="30" spans="1:8" x14ac:dyDescent="0.25">
      <c r="A30" s="393">
        <f t="shared" si="0"/>
        <v>20</v>
      </c>
      <c r="B30" s="395" t="s">
        <v>82</v>
      </c>
      <c r="C30" s="416"/>
      <c r="D30" s="416"/>
      <c r="E30" s="392"/>
      <c r="F30" s="390"/>
      <c r="G30" s="389"/>
      <c r="H30" s="393">
        <f t="shared" si="1"/>
        <v>20</v>
      </c>
    </row>
    <row r="31" spans="1:8" x14ac:dyDescent="0.25">
      <c r="A31" s="393">
        <f t="shared" si="0"/>
        <v>21</v>
      </c>
      <c r="B31" s="396" t="s">
        <v>83</v>
      </c>
      <c r="C31" s="397"/>
      <c r="D31" s="397"/>
      <c r="E31" s="287">
        <v>85194</v>
      </c>
      <c r="F31" s="394"/>
      <c r="G31" s="398" t="s">
        <v>84</v>
      </c>
      <c r="H31" s="393">
        <f t="shared" si="1"/>
        <v>21</v>
      </c>
    </row>
    <row r="32" spans="1:8" x14ac:dyDescent="0.25">
      <c r="A32" s="393">
        <f t="shared" si="0"/>
        <v>22</v>
      </c>
      <c r="B32" s="396"/>
      <c r="C32" s="397"/>
      <c r="D32" s="397"/>
      <c r="E32" s="397"/>
      <c r="F32" s="396"/>
      <c r="G32" s="398"/>
      <c r="H32" s="393">
        <f t="shared" si="1"/>
        <v>22</v>
      </c>
    </row>
    <row r="33" spans="1:10" x14ac:dyDescent="0.25">
      <c r="A33" s="393">
        <f t="shared" si="0"/>
        <v>23</v>
      </c>
      <c r="B33" s="396" t="s">
        <v>85</v>
      </c>
      <c r="C33" s="397"/>
      <c r="D33" s="397"/>
      <c r="E33" s="773">
        <f>+E28</f>
        <v>3.443512552742322E-2</v>
      </c>
      <c r="F33" s="25" t="s">
        <v>31</v>
      </c>
      <c r="G33" s="398" t="str">
        <f>"Line "&amp;A28&amp;" Above"</f>
        <v>Line 18 Above</v>
      </c>
      <c r="H33" s="393">
        <f t="shared" si="1"/>
        <v>23</v>
      </c>
    </row>
    <row r="34" spans="1:10" x14ac:dyDescent="0.25">
      <c r="A34" s="393">
        <f t="shared" si="0"/>
        <v>24</v>
      </c>
      <c r="B34" s="389"/>
      <c r="C34" s="399"/>
      <c r="D34" s="399"/>
      <c r="E34" s="417"/>
      <c r="F34" s="418"/>
      <c r="G34" s="398"/>
      <c r="H34" s="393">
        <f t="shared" si="1"/>
        <v>24</v>
      </c>
    </row>
    <row r="35" spans="1:10" ht="16.5" thickBot="1" x14ac:dyDescent="0.3">
      <c r="A35" s="393">
        <f t="shared" si="0"/>
        <v>25</v>
      </c>
      <c r="B35" s="389" t="s">
        <v>86</v>
      </c>
      <c r="C35" s="397"/>
      <c r="D35" s="397"/>
      <c r="E35" s="419">
        <f>E31*E33</f>
        <v>2933.6660841832936</v>
      </c>
      <c r="F35" s="25" t="s">
        <v>31</v>
      </c>
      <c r="G35" s="398" t="str">
        <f>"Line "&amp;A31&amp;" x Line "&amp;A33</f>
        <v>Line 21 x Line 23</v>
      </c>
      <c r="H35" s="393">
        <f t="shared" si="1"/>
        <v>25</v>
      </c>
      <c r="J35" s="610"/>
    </row>
    <row r="36" spans="1:10" ht="16.5" thickTop="1" x14ac:dyDescent="0.25">
      <c r="A36" s="393"/>
      <c r="B36" s="389"/>
      <c r="C36" s="397"/>
      <c r="D36" s="397"/>
      <c r="E36" s="789"/>
      <c r="F36" s="25"/>
      <c r="G36" s="398"/>
      <c r="H36" s="393"/>
      <c r="J36" s="610"/>
    </row>
    <row r="37" spans="1:10" x14ac:dyDescent="0.25">
      <c r="A37" s="393"/>
      <c r="B37" s="389"/>
      <c r="C37" s="396"/>
      <c r="D37" s="396"/>
      <c r="E37" s="420"/>
      <c r="F37" s="421"/>
      <c r="G37" s="398"/>
      <c r="H37" s="393"/>
    </row>
    <row r="38" spans="1:10" x14ac:dyDescent="0.25">
      <c r="A38" s="25" t="s">
        <v>31</v>
      </c>
      <c r="B38" s="23" t="s">
        <v>628</v>
      </c>
      <c r="C38" s="389"/>
      <c r="D38" s="389"/>
      <c r="E38" s="405"/>
      <c r="F38" s="405"/>
      <c r="G38" s="390"/>
      <c r="H38" s="161"/>
    </row>
    <row r="39" spans="1:10" x14ac:dyDescent="0.25">
      <c r="A39" s="25"/>
      <c r="B39" s="23" t="s">
        <v>629</v>
      </c>
      <c r="C39" s="389"/>
      <c r="D39" s="389"/>
      <c r="E39" s="405"/>
      <c r="F39" s="405"/>
      <c r="G39" s="390"/>
      <c r="H39" s="161"/>
    </row>
    <row r="40" spans="1:10" x14ac:dyDescent="0.25">
      <c r="A40" s="25"/>
      <c r="B40" s="23"/>
      <c r="C40" s="389"/>
      <c r="D40" s="389"/>
      <c r="E40" s="405"/>
      <c r="F40" s="405"/>
      <c r="G40" s="390"/>
      <c r="H40" s="161"/>
    </row>
    <row r="41" spans="1:10" x14ac:dyDescent="0.25">
      <c r="A41" s="25"/>
      <c r="B41" s="23"/>
      <c r="C41" s="389"/>
      <c r="D41" s="389"/>
      <c r="E41" s="405"/>
      <c r="F41" s="405"/>
      <c r="G41" s="390"/>
      <c r="H41" s="161"/>
    </row>
    <row r="42" spans="1:10" x14ac:dyDescent="0.25">
      <c r="A42" s="392"/>
      <c r="B42" s="805" t="str">
        <f>B2</f>
        <v>SAN DIEGO GAS &amp; ELECTRIC COMPANY</v>
      </c>
      <c r="C42" s="805"/>
      <c r="D42" s="805"/>
      <c r="E42" s="805"/>
      <c r="F42" s="805"/>
      <c r="G42" s="805"/>
      <c r="H42" s="161"/>
    </row>
    <row r="43" spans="1:10" x14ac:dyDescent="0.25">
      <c r="B43" s="805" t="str">
        <f>B3</f>
        <v>CITIZENS' SHARE OF THE BORDER EAST LINE</v>
      </c>
      <c r="C43" s="805"/>
      <c r="D43" s="805"/>
      <c r="E43" s="805"/>
      <c r="F43" s="805"/>
      <c r="G43" s="805"/>
      <c r="H43" s="406"/>
    </row>
    <row r="44" spans="1:10" x14ac:dyDescent="0.25">
      <c r="B44" s="806" t="str">
        <f>B4</f>
        <v xml:space="preserve">Section 2 - Non-Direct Expense Cost Component </v>
      </c>
      <c r="C44" s="806"/>
      <c r="D44" s="806"/>
      <c r="E44" s="806"/>
      <c r="F44" s="806"/>
      <c r="G44" s="806"/>
      <c r="H44" s="399"/>
    </row>
    <row r="45" spans="1:10" x14ac:dyDescent="0.25">
      <c r="B45" s="807" t="str">
        <f>B5</f>
        <v>Base Period &amp; True-Up Period 12 - Months Ending December 31, 2020</v>
      </c>
      <c r="C45" s="807"/>
      <c r="D45" s="807"/>
      <c r="E45" s="807"/>
      <c r="F45" s="807"/>
      <c r="G45" s="807"/>
      <c r="H45" s="399"/>
    </row>
    <row r="46" spans="1:10" x14ac:dyDescent="0.25">
      <c r="B46" s="804" t="str">
        <f>B6</f>
        <v>($1,000)</v>
      </c>
      <c r="C46" s="801"/>
      <c r="D46" s="801"/>
      <c r="E46" s="801"/>
      <c r="F46" s="801"/>
      <c r="G46" s="801"/>
      <c r="H46" s="88"/>
    </row>
    <row r="47" spans="1:10" x14ac:dyDescent="0.25">
      <c r="A47" s="422"/>
      <c r="B47" s="389"/>
      <c r="C47" s="389"/>
      <c r="D47" s="389"/>
      <c r="E47" s="389"/>
      <c r="F47" s="389"/>
      <c r="G47" s="389"/>
      <c r="H47" s="161"/>
    </row>
    <row r="48" spans="1:10" x14ac:dyDescent="0.25">
      <c r="A48" s="393" t="s">
        <v>4</v>
      </c>
      <c r="B48" s="389"/>
      <c r="C48" s="389"/>
      <c r="D48" s="389"/>
      <c r="E48" s="606"/>
      <c r="F48" s="606"/>
      <c r="G48" s="389"/>
      <c r="H48" s="393" t="s">
        <v>4</v>
      </c>
    </row>
    <row r="49" spans="1:10" x14ac:dyDescent="0.25">
      <c r="A49" s="393" t="s">
        <v>5</v>
      </c>
      <c r="B49" s="389"/>
      <c r="C49" s="389"/>
      <c r="D49" s="389"/>
      <c r="E49" s="612" t="s">
        <v>7</v>
      </c>
      <c r="F49" s="398"/>
      <c r="G49" s="612" t="s">
        <v>8</v>
      </c>
      <c r="H49" s="393" t="s">
        <v>5</v>
      </c>
    </row>
    <row r="50" spans="1:10" x14ac:dyDescent="0.25">
      <c r="A50" s="393"/>
      <c r="B50" s="389"/>
      <c r="C50" s="389"/>
      <c r="D50" s="389"/>
      <c r="E50" s="606"/>
      <c r="F50" s="606"/>
      <c r="G50" s="389"/>
      <c r="H50" s="393"/>
    </row>
    <row r="51" spans="1:10" x14ac:dyDescent="0.25">
      <c r="A51" s="393">
        <v>1</v>
      </c>
      <c r="B51" s="423" t="s">
        <v>87</v>
      </c>
      <c r="C51" s="423"/>
      <c r="D51" s="423"/>
      <c r="E51" s="638">
        <v>5400948.2173625827</v>
      </c>
      <c r="F51" s="25"/>
      <c r="G51" s="398" t="s">
        <v>88</v>
      </c>
      <c r="H51" s="393">
        <f>A51</f>
        <v>1</v>
      </c>
    </row>
    <row r="52" spans="1:10" x14ac:dyDescent="0.25">
      <c r="A52" s="393">
        <f>A51+1</f>
        <v>2</v>
      </c>
      <c r="B52" s="389"/>
      <c r="C52" s="389"/>
      <c r="D52" s="389"/>
      <c r="E52" s="388"/>
      <c r="F52" s="606"/>
      <c r="G52" s="389"/>
      <c r="H52" s="393">
        <f>H51+1</f>
        <v>2</v>
      </c>
    </row>
    <row r="53" spans="1:10" x14ac:dyDescent="0.25">
      <c r="A53" s="393">
        <f t="shared" ref="A53:A101" si="2">A52+1</f>
        <v>3</v>
      </c>
      <c r="B53" s="395" t="s">
        <v>89</v>
      </c>
      <c r="C53" s="395"/>
      <c r="D53" s="395"/>
      <c r="E53" s="424"/>
      <c r="F53" s="425"/>
      <c r="G53" s="389"/>
      <c r="H53" s="393">
        <f t="shared" ref="H53:H101" si="3">H52+1</f>
        <v>3</v>
      </c>
    </row>
    <row r="54" spans="1:10" x14ac:dyDescent="0.25">
      <c r="A54" s="393">
        <f t="shared" si="2"/>
        <v>4</v>
      </c>
      <c r="B54" s="396" t="s">
        <v>90</v>
      </c>
      <c r="C54" s="396"/>
      <c r="D54" s="396"/>
      <c r="E54" s="639">
        <v>43805.347860000002</v>
      </c>
      <c r="F54" s="25"/>
      <c r="G54" s="398" t="s">
        <v>91</v>
      </c>
      <c r="H54" s="393">
        <f t="shared" si="3"/>
        <v>4</v>
      </c>
      <c r="J54" s="426"/>
    </row>
    <row r="55" spans="1:10" x14ac:dyDescent="0.25">
      <c r="A55" s="393">
        <f t="shared" si="2"/>
        <v>5</v>
      </c>
      <c r="B55" s="396"/>
      <c r="C55" s="396"/>
      <c r="D55" s="396"/>
      <c r="E55" s="288"/>
      <c r="F55" s="427"/>
      <c r="G55" s="398"/>
      <c r="H55" s="393">
        <f t="shared" si="3"/>
        <v>5</v>
      </c>
      <c r="J55" s="426"/>
    </row>
    <row r="56" spans="1:10" x14ac:dyDescent="0.25">
      <c r="A56" s="393">
        <f t="shared" si="2"/>
        <v>6</v>
      </c>
      <c r="B56" s="396" t="s">
        <v>92</v>
      </c>
      <c r="C56" s="389"/>
      <c r="D56" s="389"/>
      <c r="E56" s="656">
        <f>E54/E51</f>
        <v>8.1106772546305286E-3</v>
      </c>
      <c r="F56" s="25"/>
      <c r="G56" s="398" t="s">
        <v>93</v>
      </c>
      <c r="H56" s="393">
        <f t="shared" si="3"/>
        <v>6</v>
      </c>
      <c r="J56" s="426"/>
    </row>
    <row r="57" spans="1:10" x14ac:dyDescent="0.25">
      <c r="A57" s="393">
        <f t="shared" si="2"/>
        <v>7</v>
      </c>
      <c r="B57" s="396"/>
      <c r="C57" s="396"/>
      <c r="D57" s="396"/>
      <c r="E57" s="430"/>
      <c r="F57" s="431"/>
      <c r="G57" s="398"/>
      <c r="H57" s="393">
        <f t="shared" si="3"/>
        <v>7</v>
      </c>
    </row>
    <row r="58" spans="1:10" x14ac:dyDescent="0.25">
      <c r="A58" s="393">
        <f t="shared" si="2"/>
        <v>8</v>
      </c>
      <c r="B58" s="395" t="s">
        <v>94</v>
      </c>
      <c r="C58" s="395"/>
      <c r="D58" s="395"/>
      <c r="E58" s="432"/>
      <c r="F58" s="433"/>
      <c r="G58" s="434"/>
      <c r="H58" s="393">
        <f t="shared" si="3"/>
        <v>8</v>
      </c>
    </row>
    <row r="59" spans="1:10" x14ac:dyDescent="0.25">
      <c r="A59" s="393">
        <f t="shared" si="2"/>
        <v>9</v>
      </c>
      <c r="B59" s="396" t="s">
        <v>95</v>
      </c>
      <c r="C59" s="396"/>
      <c r="D59" s="396"/>
      <c r="E59" s="435">
        <f>'Pg8 Rev Stmt AH'!E51</f>
        <v>49459.277852377687</v>
      </c>
      <c r="F59" s="25" t="s">
        <v>31</v>
      </c>
      <c r="G59" s="398" t="s">
        <v>608</v>
      </c>
      <c r="H59" s="393">
        <f t="shared" si="3"/>
        <v>9</v>
      </c>
      <c r="J59" s="21"/>
    </row>
    <row r="60" spans="1:10" x14ac:dyDescent="0.25">
      <c r="A60" s="393">
        <f t="shared" si="2"/>
        <v>10</v>
      </c>
      <c r="B60" s="389"/>
      <c r="C60" s="389"/>
      <c r="D60" s="389"/>
      <c r="E60" s="432"/>
      <c r="F60" s="433"/>
      <c r="G60" s="398"/>
      <c r="H60" s="393">
        <f t="shared" si="3"/>
        <v>10</v>
      </c>
    </row>
    <row r="61" spans="1:10" x14ac:dyDescent="0.25">
      <c r="A61" s="393">
        <f t="shared" si="2"/>
        <v>11</v>
      </c>
      <c r="B61" s="436" t="s">
        <v>96</v>
      </c>
      <c r="C61" s="434"/>
      <c r="D61" s="434"/>
      <c r="E61" s="707">
        <f>E59/E51</f>
        <v>9.1575175065333036E-3</v>
      </c>
      <c r="F61" s="25" t="s">
        <v>31</v>
      </c>
      <c r="G61" s="398" t="s">
        <v>97</v>
      </c>
      <c r="H61" s="393">
        <f t="shared" si="3"/>
        <v>11</v>
      </c>
    </row>
    <row r="62" spans="1:10" x14ac:dyDescent="0.25">
      <c r="A62" s="393">
        <f t="shared" si="2"/>
        <v>12</v>
      </c>
      <c r="B62" s="434"/>
      <c r="C62" s="434"/>
      <c r="D62" s="434"/>
      <c r="E62" s="437"/>
      <c r="F62" s="438"/>
      <c r="G62" s="398"/>
      <c r="H62" s="393">
        <f t="shared" si="3"/>
        <v>12</v>
      </c>
    </row>
    <row r="63" spans="1:10" x14ac:dyDescent="0.25">
      <c r="A63" s="393">
        <f t="shared" si="2"/>
        <v>13</v>
      </c>
      <c r="B63" s="395" t="s">
        <v>98</v>
      </c>
      <c r="C63" s="434"/>
      <c r="D63" s="434"/>
      <c r="E63" s="437"/>
      <c r="F63" s="438"/>
      <c r="G63" s="398"/>
      <c r="H63" s="393">
        <f t="shared" si="3"/>
        <v>13</v>
      </c>
    </row>
    <row r="64" spans="1:10" x14ac:dyDescent="0.25">
      <c r="A64" s="393">
        <f t="shared" si="2"/>
        <v>14</v>
      </c>
      <c r="B64" s="436" t="s">
        <v>75</v>
      </c>
      <c r="C64" s="434"/>
      <c r="D64" s="434"/>
      <c r="E64" s="439">
        <v>57379.224084521513</v>
      </c>
      <c r="F64" s="438"/>
      <c r="G64" s="398" t="s">
        <v>99</v>
      </c>
      <c r="H64" s="393">
        <f t="shared" si="3"/>
        <v>14</v>
      </c>
    </row>
    <row r="65" spans="1:8" x14ac:dyDescent="0.25">
      <c r="A65" s="393">
        <f t="shared" si="2"/>
        <v>15</v>
      </c>
      <c r="B65" s="434"/>
      <c r="C65" s="434"/>
      <c r="D65" s="434"/>
      <c r="E65" s="432"/>
      <c r="F65" s="438"/>
      <c r="G65" s="398"/>
      <c r="H65" s="393">
        <f t="shared" si="3"/>
        <v>15</v>
      </c>
    </row>
    <row r="66" spans="1:8" x14ac:dyDescent="0.25">
      <c r="A66" s="393">
        <f t="shared" si="2"/>
        <v>16</v>
      </c>
      <c r="B66" s="436" t="s">
        <v>100</v>
      </c>
      <c r="C66" s="434"/>
      <c r="D66" s="434"/>
      <c r="E66" s="428">
        <f>E64/E51</f>
        <v>1.0623916722634533E-2</v>
      </c>
      <c r="F66" s="438"/>
      <c r="G66" s="398" t="s">
        <v>101</v>
      </c>
      <c r="H66" s="393">
        <f t="shared" si="3"/>
        <v>16</v>
      </c>
    </row>
    <row r="67" spans="1:8" x14ac:dyDescent="0.25">
      <c r="A67" s="393">
        <f t="shared" si="2"/>
        <v>17</v>
      </c>
      <c r="B67" s="434"/>
      <c r="C67" s="434"/>
      <c r="D67" s="434"/>
      <c r="E67" s="437"/>
      <c r="F67" s="438"/>
      <c r="G67" s="398"/>
      <c r="H67" s="393">
        <f t="shared" si="3"/>
        <v>17</v>
      </c>
    </row>
    <row r="68" spans="1:8" x14ac:dyDescent="0.25">
      <c r="A68" s="393">
        <f t="shared" si="2"/>
        <v>18</v>
      </c>
      <c r="B68" s="395" t="s">
        <v>102</v>
      </c>
      <c r="C68" s="395"/>
      <c r="D68" s="395"/>
      <c r="E68" s="437"/>
      <c r="F68" s="438"/>
      <c r="G68" s="398"/>
      <c r="H68" s="393">
        <f t="shared" si="3"/>
        <v>18</v>
      </c>
    </row>
    <row r="69" spans="1:8" x14ac:dyDescent="0.25">
      <c r="A69" s="393">
        <f t="shared" si="2"/>
        <v>19</v>
      </c>
      <c r="B69" s="396" t="s">
        <v>76</v>
      </c>
      <c r="C69" s="396"/>
      <c r="D69" s="396"/>
      <c r="E69" s="439">
        <v>1765.9019544089692</v>
      </c>
      <c r="F69" s="606"/>
      <c r="G69" s="398" t="s">
        <v>103</v>
      </c>
      <c r="H69" s="393">
        <f t="shared" si="3"/>
        <v>19</v>
      </c>
    </row>
    <row r="70" spans="1:8" x14ac:dyDescent="0.25">
      <c r="A70" s="393">
        <f t="shared" si="2"/>
        <v>20</v>
      </c>
      <c r="B70" s="434"/>
      <c r="C70" s="434"/>
      <c r="D70" s="434"/>
      <c r="E70" s="437"/>
      <c r="F70" s="438"/>
      <c r="G70" s="398"/>
      <c r="H70" s="393">
        <f t="shared" si="3"/>
        <v>20</v>
      </c>
    </row>
    <row r="71" spans="1:8" x14ac:dyDescent="0.25">
      <c r="A71" s="393">
        <f t="shared" si="2"/>
        <v>21</v>
      </c>
      <c r="B71" s="436" t="s">
        <v>104</v>
      </c>
      <c r="C71" s="434"/>
      <c r="D71" s="434"/>
      <c r="E71" s="428">
        <f>E69/E51</f>
        <v>3.269614673830928E-4</v>
      </c>
      <c r="F71" s="429"/>
      <c r="G71" s="398" t="s">
        <v>105</v>
      </c>
      <c r="H71" s="393">
        <f t="shared" si="3"/>
        <v>21</v>
      </c>
    </row>
    <row r="72" spans="1:8" x14ac:dyDescent="0.25">
      <c r="A72" s="393">
        <f t="shared" si="2"/>
        <v>22</v>
      </c>
      <c r="B72" s="434"/>
      <c r="C72" s="434"/>
      <c r="D72" s="434"/>
      <c r="E72" s="437"/>
      <c r="F72" s="438"/>
      <c r="G72" s="398"/>
      <c r="H72" s="393">
        <f t="shared" si="3"/>
        <v>22</v>
      </c>
    </row>
    <row r="73" spans="1:8" x14ac:dyDescent="0.25">
      <c r="A73" s="393">
        <f t="shared" si="2"/>
        <v>23</v>
      </c>
      <c r="B73" s="395" t="s">
        <v>106</v>
      </c>
      <c r="C73" s="395"/>
      <c r="D73" s="395"/>
      <c r="E73" s="440"/>
      <c r="F73" s="441"/>
      <c r="G73" s="398"/>
      <c r="H73" s="393">
        <f t="shared" si="3"/>
        <v>23</v>
      </c>
    </row>
    <row r="74" spans="1:8" x14ac:dyDescent="0.25">
      <c r="A74" s="393">
        <f t="shared" si="2"/>
        <v>24</v>
      </c>
      <c r="B74" s="442" t="s">
        <v>107</v>
      </c>
      <c r="C74" s="389"/>
      <c r="D74" s="389"/>
      <c r="E74" s="440"/>
      <c r="F74" s="441"/>
      <c r="G74" s="398"/>
      <c r="H74" s="393">
        <f t="shared" si="3"/>
        <v>24</v>
      </c>
    </row>
    <row r="75" spans="1:8" x14ac:dyDescent="0.25">
      <c r="A75" s="393">
        <f t="shared" si="2"/>
        <v>25</v>
      </c>
      <c r="B75" s="396" t="s">
        <v>108</v>
      </c>
      <c r="C75" s="396"/>
      <c r="D75" s="396"/>
      <c r="E75" s="443">
        <v>51269.428222656083</v>
      </c>
      <c r="F75" s="606"/>
      <c r="G75" s="398" t="s">
        <v>109</v>
      </c>
      <c r="H75" s="393">
        <f t="shared" si="3"/>
        <v>25</v>
      </c>
    </row>
    <row r="76" spans="1:8" x14ac:dyDescent="0.25">
      <c r="A76" s="393">
        <f t="shared" si="2"/>
        <v>26</v>
      </c>
      <c r="B76" s="396" t="s">
        <v>110</v>
      </c>
      <c r="C76" s="396"/>
      <c r="D76" s="396"/>
      <c r="E76" s="444">
        <v>37308.787275766081</v>
      </c>
      <c r="F76" s="606"/>
      <c r="G76" s="398" t="s">
        <v>111</v>
      </c>
      <c r="H76" s="393">
        <f t="shared" si="3"/>
        <v>26</v>
      </c>
    </row>
    <row r="77" spans="1:8" x14ac:dyDescent="0.25">
      <c r="A77" s="393">
        <f t="shared" si="2"/>
        <v>27</v>
      </c>
      <c r="B77" s="396" t="s">
        <v>112</v>
      </c>
      <c r="C77" s="396"/>
      <c r="D77" s="396"/>
      <c r="E77" s="445">
        <f>'Pg9 Rev Stmt AL'!E29</f>
        <v>11658.078214047211</v>
      </c>
      <c r="F77" s="25" t="s">
        <v>31</v>
      </c>
      <c r="G77" s="398" t="s">
        <v>609</v>
      </c>
      <c r="H77" s="393">
        <f t="shared" si="3"/>
        <v>27</v>
      </c>
    </row>
    <row r="78" spans="1:8" x14ac:dyDescent="0.25">
      <c r="A78" s="393">
        <f t="shared" si="2"/>
        <v>28</v>
      </c>
      <c r="B78" s="396" t="s">
        <v>114</v>
      </c>
      <c r="C78" s="389"/>
      <c r="D78" s="389"/>
      <c r="E78" s="446">
        <f>SUM(E75:E77)</f>
        <v>100236.29371246937</v>
      </c>
      <c r="F78" s="25" t="s">
        <v>31</v>
      </c>
      <c r="G78" s="398" t="s">
        <v>115</v>
      </c>
      <c r="H78" s="393">
        <f t="shared" si="3"/>
        <v>28</v>
      </c>
    </row>
    <row r="79" spans="1:8" x14ac:dyDescent="0.25">
      <c r="A79" s="393">
        <f t="shared" si="2"/>
        <v>29</v>
      </c>
      <c r="B79" s="389"/>
      <c r="C79" s="389"/>
      <c r="D79" s="389"/>
      <c r="E79" s="447"/>
      <c r="F79" s="448"/>
      <c r="G79" s="398"/>
      <c r="H79" s="393">
        <f t="shared" si="3"/>
        <v>29</v>
      </c>
    </row>
    <row r="80" spans="1:8" x14ac:dyDescent="0.25">
      <c r="A80" s="393">
        <f t="shared" si="2"/>
        <v>30</v>
      </c>
      <c r="B80" s="396" t="s">
        <v>116</v>
      </c>
      <c r="C80" s="396"/>
      <c r="D80" s="396"/>
      <c r="E80" s="449">
        <f>'Pg10 Rev Stmt AV'!G110</f>
        <v>9.9705197325996031E-2</v>
      </c>
      <c r="F80" s="25"/>
      <c r="G80" s="398" t="s">
        <v>610</v>
      </c>
      <c r="H80" s="393">
        <f t="shared" si="3"/>
        <v>30</v>
      </c>
    </row>
    <row r="81" spans="1:8" x14ac:dyDescent="0.25">
      <c r="A81" s="393">
        <f t="shared" si="2"/>
        <v>31</v>
      </c>
      <c r="B81" s="389"/>
      <c r="C81" s="389"/>
      <c r="D81" s="389"/>
      <c r="E81" s="447"/>
      <c r="F81" s="448"/>
      <c r="G81" s="398"/>
      <c r="H81" s="393">
        <f t="shared" si="3"/>
        <v>31</v>
      </c>
    </row>
    <row r="82" spans="1:8" x14ac:dyDescent="0.25">
      <c r="A82" s="393">
        <f t="shared" si="2"/>
        <v>32</v>
      </c>
      <c r="B82" s="396" t="s">
        <v>118</v>
      </c>
      <c r="C82" s="389"/>
      <c r="D82" s="389"/>
      <c r="E82" s="765">
        <f>E78*E80</f>
        <v>9994.0794438282537</v>
      </c>
      <c r="F82" s="25" t="s">
        <v>31</v>
      </c>
      <c r="G82" s="398" t="s">
        <v>119</v>
      </c>
      <c r="H82" s="393">
        <f t="shared" si="3"/>
        <v>32</v>
      </c>
    </row>
    <row r="83" spans="1:8" x14ac:dyDescent="0.25">
      <c r="A83" s="393">
        <f t="shared" si="2"/>
        <v>33</v>
      </c>
      <c r="B83" s="389"/>
      <c r="C83" s="389"/>
      <c r="D83" s="389"/>
      <c r="E83" s="447"/>
      <c r="F83" s="448"/>
      <c r="G83" s="398"/>
      <c r="H83" s="393">
        <f t="shared" si="3"/>
        <v>33</v>
      </c>
    </row>
    <row r="84" spans="1:8" x14ac:dyDescent="0.25">
      <c r="A84" s="393">
        <f t="shared" si="2"/>
        <v>34</v>
      </c>
      <c r="B84" s="396" t="s">
        <v>120</v>
      </c>
      <c r="C84" s="389"/>
      <c r="D84" s="389"/>
      <c r="E84" s="772">
        <f>E82/E51</f>
        <v>1.8504305247178635E-3</v>
      </c>
      <c r="F84" s="25" t="s">
        <v>31</v>
      </c>
      <c r="G84" s="398" t="s">
        <v>121</v>
      </c>
      <c r="H84" s="393">
        <f t="shared" si="3"/>
        <v>34</v>
      </c>
    </row>
    <row r="85" spans="1:8" x14ac:dyDescent="0.25">
      <c r="A85" s="393">
        <f t="shared" si="2"/>
        <v>35</v>
      </c>
      <c r="B85" s="396"/>
      <c r="C85" s="389"/>
      <c r="D85" s="389"/>
      <c r="E85" s="450"/>
      <c r="F85" s="429"/>
      <c r="G85" s="398"/>
      <c r="H85" s="393">
        <f t="shared" si="3"/>
        <v>35</v>
      </c>
    </row>
    <row r="86" spans="1:8" x14ac:dyDescent="0.25">
      <c r="A86" s="393">
        <f t="shared" si="2"/>
        <v>36</v>
      </c>
      <c r="B86" s="395" t="s">
        <v>122</v>
      </c>
      <c r="C86" s="451"/>
      <c r="D86" s="451"/>
      <c r="E86" s="452"/>
      <c r="F86" s="452"/>
      <c r="G86" s="452"/>
      <c r="H86" s="393">
        <f t="shared" si="3"/>
        <v>36</v>
      </c>
    </row>
    <row r="87" spans="1:8" x14ac:dyDescent="0.25">
      <c r="A87" s="393">
        <f t="shared" si="2"/>
        <v>37</v>
      </c>
      <c r="B87" s="396" t="s">
        <v>123</v>
      </c>
      <c r="C87" s="451"/>
      <c r="D87" s="451"/>
      <c r="E87" s="32">
        <v>29097.73014030722</v>
      </c>
      <c r="F87" s="452"/>
      <c r="G87" s="398" t="s">
        <v>124</v>
      </c>
      <c r="H87" s="393">
        <f t="shared" si="3"/>
        <v>37</v>
      </c>
    </row>
    <row r="88" spans="1:8" x14ac:dyDescent="0.25">
      <c r="A88" s="393">
        <f t="shared" si="2"/>
        <v>38</v>
      </c>
      <c r="B88" s="395"/>
      <c r="C88" s="451"/>
      <c r="D88" s="451"/>
      <c r="E88" s="453"/>
      <c r="F88" s="452"/>
      <c r="G88" s="452"/>
      <c r="H88" s="393">
        <f t="shared" si="3"/>
        <v>38</v>
      </c>
    </row>
    <row r="89" spans="1:8" x14ac:dyDescent="0.25">
      <c r="A89" s="393">
        <f t="shared" si="2"/>
        <v>39</v>
      </c>
      <c r="B89" s="396" t="s">
        <v>125</v>
      </c>
      <c r="C89" s="451"/>
      <c r="D89" s="451"/>
      <c r="E89" s="454">
        <v>61211.878237450255</v>
      </c>
      <c r="F89" s="452"/>
      <c r="G89" s="398" t="s">
        <v>126</v>
      </c>
      <c r="H89" s="393">
        <f t="shared" si="3"/>
        <v>39</v>
      </c>
    </row>
    <row r="90" spans="1:8" ht="20.25" x14ac:dyDescent="0.55000000000000004">
      <c r="A90" s="393">
        <f t="shared" si="2"/>
        <v>40</v>
      </c>
      <c r="B90" s="451"/>
      <c r="C90" s="455"/>
      <c r="D90" s="455"/>
      <c r="E90" s="456"/>
      <c r="F90" s="457"/>
      <c r="G90" s="451"/>
      <c r="H90" s="393">
        <f t="shared" si="3"/>
        <v>40</v>
      </c>
    </row>
    <row r="91" spans="1:8" x14ac:dyDescent="0.25">
      <c r="A91" s="393">
        <f t="shared" si="2"/>
        <v>41</v>
      </c>
      <c r="B91" s="396" t="s">
        <v>127</v>
      </c>
      <c r="C91" s="455"/>
      <c r="D91" s="455"/>
      <c r="E91" s="458">
        <f>E87+E89</f>
        <v>90309.608377757482</v>
      </c>
      <c r="F91" s="459"/>
      <c r="G91" s="398" t="s">
        <v>128</v>
      </c>
      <c r="H91" s="393">
        <f t="shared" si="3"/>
        <v>41</v>
      </c>
    </row>
    <row r="92" spans="1:8" x14ac:dyDescent="0.25">
      <c r="A92" s="393">
        <f t="shared" si="2"/>
        <v>42</v>
      </c>
      <c r="B92" s="460"/>
      <c r="C92" s="455"/>
      <c r="D92" s="455"/>
      <c r="E92" s="461"/>
      <c r="F92" s="459"/>
      <c r="G92" s="462"/>
      <c r="H92" s="393">
        <f t="shared" si="3"/>
        <v>42</v>
      </c>
    </row>
    <row r="93" spans="1:8" x14ac:dyDescent="0.25">
      <c r="A93" s="393">
        <f t="shared" si="2"/>
        <v>43</v>
      </c>
      <c r="B93" s="396" t="s">
        <v>116</v>
      </c>
      <c r="C93" s="455"/>
      <c r="D93" s="455"/>
      <c r="E93" s="463">
        <f>E80</f>
        <v>9.9705197325996031E-2</v>
      </c>
      <c r="F93" s="25"/>
      <c r="G93" s="398" t="s">
        <v>129</v>
      </c>
      <c r="H93" s="393">
        <f t="shared" si="3"/>
        <v>43</v>
      </c>
    </row>
    <row r="94" spans="1:8" x14ac:dyDescent="0.25">
      <c r="A94" s="393">
        <f t="shared" si="2"/>
        <v>44</v>
      </c>
      <c r="B94" s="451"/>
      <c r="C94" s="455"/>
      <c r="D94" s="455"/>
      <c r="E94" s="464"/>
      <c r="F94" s="465"/>
      <c r="G94" s="451"/>
      <c r="H94" s="393">
        <f t="shared" si="3"/>
        <v>44</v>
      </c>
    </row>
    <row r="95" spans="1:8" x14ac:dyDescent="0.25">
      <c r="A95" s="393">
        <f t="shared" si="2"/>
        <v>45</v>
      </c>
      <c r="B95" s="396" t="s">
        <v>130</v>
      </c>
      <c r="C95" s="455"/>
      <c r="D95" s="455"/>
      <c r="E95" s="466">
        <f>E91*E93</f>
        <v>9004.3373237377346</v>
      </c>
      <c r="F95" s="25"/>
      <c r="G95" s="398" t="s">
        <v>131</v>
      </c>
      <c r="H95" s="393">
        <f t="shared" si="3"/>
        <v>45</v>
      </c>
    </row>
    <row r="96" spans="1:8" x14ac:dyDescent="0.25">
      <c r="A96" s="393">
        <f t="shared" si="2"/>
        <v>46</v>
      </c>
      <c r="B96" s="460"/>
      <c r="C96" s="455"/>
      <c r="D96" s="455"/>
      <c r="E96" s="468"/>
      <c r="F96" s="467"/>
      <c r="G96" s="462"/>
      <c r="H96" s="393">
        <f t="shared" si="3"/>
        <v>46</v>
      </c>
    </row>
    <row r="97" spans="1:9" x14ac:dyDescent="0.25">
      <c r="A97" s="393">
        <f t="shared" si="2"/>
        <v>47</v>
      </c>
      <c r="B97" s="396" t="s">
        <v>132</v>
      </c>
      <c r="C97" s="455"/>
      <c r="D97" s="455"/>
      <c r="E97" s="469">
        <v>12682.628375034114</v>
      </c>
      <c r="F97" s="467"/>
      <c r="G97" s="398" t="s">
        <v>133</v>
      </c>
      <c r="H97" s="393">
        <f t="shared" si="3"/>
        <v>47</v>
      </c>
      <c r="I97" s="455"/>
    </row>
    <row r="98" spans="1:9" x14ac:dyDescent="0.25">
      <c r="A98" s="393">
        <f t="shared" si="2"/>
        <v>48</v>
      </c>
      <c r="B98" s="396"/>
      <c r="C98" s="455"/>
      <c r="D98" s="455"/>
      <c r="E98" s="256"/>
      <c r="F98" s="467"/>
      <c r="G98" s="398"/>
      <c r="H98" s="393">
        <f t="shared" si="3"/>
        <v>48</v>
      </c>
    </row>
    <row r="99" spans="1:9" x14ac:dyDescent="0.25">
      <c r="A99" s="393">
        <f t="shared" si="2"/>
        <v>49</v>
      </c>
      <c r="B99" s="396" t="s">
        <v>134</v>
      </c>
      <c r="C99" s="455"/>
      <c r="D99" s="455"/>
      <c r="E99" s="256">
        <f>E95+E97</f>
        <v>21686.965698771848</v>
      </c>
      <c r="F99" s="25"/>
      <c r="G99" s="398" t="s">
        <v>135</v>
      </c>
      <c r="H99" s="393">
        <f t="shared" si="3"/>
        <v>49</v>
      </c>
    </row>
    <row r="100" spans="1:9" x14ac:dyDescent="0.25">
      <c r="A100" s="393">
        <f t="shared" si="2"/>
        <v>50</v>
      </c>
      <c r="B100" s="451"/>
      <c r="C100" s="455"/>
      <c r="D100" s="455"/>
      <c r="E100" s="470"/>
      <c r="F100" s="451"/>
      <c r="G100" s="451"/>
      <c r="H100" s="393">
        <f t="shared" si="3"/>
        <v>50</v>
      </c>
    </row>
    <row r="101" spans="1:9" ht="16.5" thickBot="1" x14ac:dyDescent="0.3">
      <c r="A101" s="393">
        <f t="shared" si="2"/>
        <v>51</v>
      </c>
      <c r="B101" s="396" t="s">
        <v>136</v>
      </c>
      <c r="C101" s="455"/>
      <c r="D101" s="455"/>
      <c r="E101" s="471">
        <f>E99/E51</f>
        <v>4.0153996716824911E-3</v>
      </c>
      <c r="F101" s="472"/>
      <c r="G101" s="398" t="s">
        <v>137</v>
      </c>
      <c r="H101" s="393">
        <f t="shared" si="3"/>
        <v>51</v>
      </c>
    </row>
    <row r="102" spans="1:9" ht="16.5" thickTop="1" x14ac:dyDescent="0.25">
      <c r="A102" s="393"/>
      <c r="B102" s="396"/>
      <c r="C102" s="455"/>
      <c r="D102" s="455"/>
      <c r="E102" s="428"/>
      <c r="F102" s="472"/>
      <c r="G102" s="398"/>
      <c r="H102" s="393"/>
    </row>
    <row r="103" spans="1:9" x14ac:dyDescent="0.25">
      <c r="A103" s="399"/>
    </row>
    <row r="104" spans="1:9" x14ac:dyDescent="0.25">
      <c r="A104" s="25" t="s">
        <v>31</v>
      </c>
      <c r="B104" s="23" t="str">
        <f>'Pg3 Rev App. X C10'!B56</f>
        <v>Items in BOLD have changed due to A&amp;G adj. missed in prior cost adj. and CEMA/WMPMA exclusion corrections compared to the original Sunrise Appendix X Cycle 10</v>
      </c>
    </row>
    <row r="105" spans="1:9" x14ac:dyDescent="0.25">
      <c r="A105" s="399"/>
      <c r="B105" s="23" t="str">
        <f>'Pg3 Rev App. X C10'!B57</f>
        <v>per ER22-139 and cost adj. incl. in Appendix X Cycle 11 per ER23-109.</v>
      </c>
    </row>
    <row r="106" spans="1:9" x14ac:dyDescent="0.25">
      <c r="A106" s="399"/>
    </row>
    <row r="107" spans="1:9" x14ac:dyDescent="0.25">
      <c r="A107" s="399"/>
    </row>
    <row r="108" spans="1:9" x14ac:dyDescent="0.25">
      <c r="A108" s="399"/>
    </row>
    <row r="109" spans="1:9" x14ac:dyDescent="0.25">
      <c r="A109" s="399"/>
    </row>
    <row r="110" spans="1:9" x14ac:dyDescent="0.25">
      <c r="A110" s="399"/>
    </row>
    <row r="111" spans="1:9" x14ac:dyDescent="0.25">
      <c r="A111" s="399"/>
    </row>
    <row r="112" spans="1:9" x14ac:dyDescent="0.25">
      <c r="A112" s="399"/>
    </row>
    <row r="113" spans="1:1" x14ac:dyDescent="0.25">
      <c r="A113" s="399"/>
    </row>
    <row r="114" spans="1:1" x14ac:dyDescent="0.25">
      <c r="A114" s="399"/>
    </row>
    <row r="115" spans="1:1" x14ac:dyDescent="0.25">
      <c r="A115" s="399"/>
    </row>
    <row r="116" spans="1:1" x14ac:dyDescent="0.25">
      <c r="A116" s="399"/>
    </row>
    <row r="117" spans="1:1" x14ac:dyDescent="0.25">
      <c r="A117" s="399"/>
    </row>
    <row r="118" spans="1:1" x14ac:dyDescent="0.25">
      <c r="A118" s="399"/>
    </row>
    <row r="119" spans="1:1" x14ac:dyDescent="0.25">
      <c r="A119" s="399"/>
    </row>
    <row r="120" spans="1:1" x14ac:dyDescent="0.25">
      <c r="A120" s="399"/>
    </row>
    <row r="121" spans="1:1" x14ac:dyDescent="0.25">
      <c r="A121" s="399"/>
    </row>
    <row r="122" spans="1:1" x14ac:dyDescent="0.25">
      <c r="A122" s="399"/>
    </row>
    <row r="123" spans="1:1" x14ac:dyDescent="0.25">
      <c r="A123" s="399"/>
    </row>
    <row r="124" spans="1:1" x14ac:dyDescent="0.25">
      <c r="A124" s="399"/>
    </row>
    <row r="125" spans="1:1" x14ac:dyDescent="0.25">
      <c r="A125" s="399"/>
    </row>
    <row r="126" spans="1:1" x14ac:dyDescent="0.25">
      <c r="A126" s="399"/>
    </row>
    <row r="127" spans="1:1" x14ac:dyDescent="0.25">
      <c r="A127" s="399"/>
    </row>
    <row r="128" spans="1:1" x14ac:dyDescent="0.25">
      <c r="A128" s="399"/>
    </row>
    <row r="129" spans="1:1" x14ac:dyDescent="0.25">
      <c r="A129" s="399"/>
    </row>
    <row r="130" spans="1:1" x14ac:dyDescent="0.25">
      <c r="A130" s="399"/>
    </row>
    <row r="131" spans="1:1" x14ac:dyDescent="0.25">
      <c r="A131" s="399"/>
    </row>
    <row r="132" spans="1:1" x14ac:dyDescent="0.25">
      <c r="A132" s="399"/>
    </row>
    <row r="133" spans="1:1" x14ac:dyDescent="0.25">
      <c r="A133" s="399"/>
    </row>
    <row r="134" spans="1:1" x14ac:dyDescent="0.25">
      <c r="A134" s="399"/>
    </row>
    <row r="135" spans="1:1" x14ac:dyDescent="0.25">
      <c r="A135" s="399"/>
    </row>
    <row r="136" spans="1:1" x14ac:dyDescent="0.25">
      <c r="A136" s="399"/>
    </row>
    <row r="137" spans="1:1" x14ac:dyDescent="0.25">
      <c r="A137" s="399"/>
    </row>
    <row r="138" spans="1:1" x14ac:dyDescent="0.25">
      <c r="A138" s="399"/>
    </row>
    <row r="139" spans="1:1" x14ac:dyDescent="0.25">
      <c r="A139" s="399"/>
    </row>
    <row r="140" spans="1:1" x14ac:dyDescent="0.25">
      <c r="A140" s="399"/>
    </row>
    <row r="141" spans="1:1" x14ac:dyDescent="0.25">
      <c r="A141" s="399"/>
    </row>
    <row r="142" spans="1:1" x14ac:dyDescent="0.25">
      <c r="A142" s="399"/>
    </row>
    <row r="143" spans="1:1" x14ac:dyDescent="0.25">
      <c r="A143" s="399"/>
    </row>
    <row r="144" spans="1:1" x14ac:dyDescent="0.25">
      <c r="A144" s="399"/>
    </row>
    <row r="145" spans="1:6" x14ac:dyDescent="0.25">
      <c r="A145" s="399"/>
    </row>
    <row r="146" spans="1:6" x14ac:dyDescent="0.25">
      <c r="A146" s="399"/>
    </row>
    <row r="147" spans="1:6" x14ac:dyDescent="0.25">
      <c r="A147" s="399"/>
    </row>
    <row r="148" spans="1:6" x14ac:dyDescent="0.25">
      <c r="A148" s="399"/>
    </row>
    <row r="149" spans="1:6" x14ac:dyDescent="0.25">
      <c r="A149" s="399"/>
    </row>
    <row r="150" spans="1:6" x14ac:dyDescent="0.25">
      <c r="A150" s="399"/>
    </row>
    <row r="151" spans="1:6" x14ac:dyDescent="0.25">
      <c r="A151" s="399"/>
    </row>
    <row r="152" spans="1:6" x14ac:dyDescent="0.25">
      <c r="A152" s="399"/>
    </row>
    <row r="153" spans="1:6" x14ac:dyDescent="0.25">
      <c r="A153" s="399"/>
    </row>
    <row r="154" spans="1:6" x14ac:dyDescent="0.25">
      <c r="A154" s="399"/>
    </row>
    <row r="155" spans="1:6" x14ac:dyDescent="0.25">
      <c r="A155" s="399"/>
    </row>
    <row r="156" spans="1:6" x14ac:dyDescent="0.25">
      <c r="A156" s="399"/>
    </row>
    <row r="157" spans="1:6" x14ac:dyDescent="0.25">
      <c r="A157" s="399"/>
      <c r="B157" s="390"/>
      <c r="C157" s="390"/>
      <c r="D157" s="390"/>
      <c r="E157" s="390"/>
      <c r="F157" s="390"/>
    </row>
    <row r="158" spans="1:6" x14ac:dyDescent="0.25">
      <c r="A158" s="399"/>
      <c r="B158" s="390"/>
      <c r="C158" s="390"/>
      <c r="D158" s="390"/>
      <c r="E158" s="390"/>
      <c r="F158" s="390"/>
    </row>
    <row r="163" spans="1:6" x14ac:dyDescent="0.25">
      <c r="A163" s="392"/>
      <c r="B163" s="390"/>
      <c r="C163" s="390"/>
      <c r="D163" s="390"/>
      <c r="E163" s="473"/>
      <c r="F163" s="473"/>
    </row>
  </sheetData>
  <mergeCells count="10">
    <mergeCell ref="B2:G2"/>
    <mergeCell ref="B3:G3"/>
    <mergeCell ref="B4:G4"/>
    <mergeCell ref="B5:G5"/>
    <mergeCell ref="B6:G6"/>
    <mergeCell ref="B46:G46"/>
    <mergeCell ref="B42:G42"/>
    <mergeCell ref="B43:G43"/>
    <mergeCell ref="B44:G44"/>
    <mergeCell ref="B45:G45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64"/>
  <sheetViews>
    <sheetView zoomScale="80" zoomScaleNormal="80" workbookViewId="0"/>
  </sheetViews>
  <sheetFormatPr defaultColWidth="8.85546875" defaultRowHeight="15.75" x14ac:dyDescent="0.25"/>
  <cols>
    <col min="1" max="1" width="5.140625" style="37" customWidth="1"/>
    <col min="2" max="2" width="82.5703125" style="18" customWidth="1"/>
    <col min="3" max="3" width="10.42578125" style="18" customWidth="1"/>
    <col min="4" max="4" width="2.140625" style="18" customWidth="1"/>
    <col min="5" max="5" width="16.85546875" style="18" customWidth="1"/>
    <col min="6" max="6" width="1.5703125" style="18" customWidth="1"/>
    <col min="7" max="7" width="43.42578125" style="18" customWidth="1"/>
    <col min="8" max="8" width="5.140625" style="36" customWidth="1"/>
    <col min="9" max="9" width="8.85546875" style="18"/>
    <col min="10" max="10" width="9.85546875" style="18" customWidth="1"/>
    <col min="11" max="16384" width="8.85546875" style="18"/>
  </cols>
  <sheetData>
    <row r="1" spans="1:8" x14ac:dyDescent="0.25">
      <c r="A1" s="691" t="s">
        <v>642</v>
      </c>
    </row>
    <row r="2" spans="1:8" x14ac:dyDescent="0.25">
      <c r="A2" s="388"/>
      <c r="B2" s="389"/>
      <c r="C2" s="389"/>
      <c r="D2" s="389"/>
      <c r="E2" s="390"/>
      <c r="F2" s="390"/>
      <c r="G2" s="611"/>
      <c r="H2" s="161"/>
    </row>
    <row r="3" spans="1:8" x14ac:dyDescent="0.25">
      <c r="A3" s="388"/>
      <c r="B3" s="806" t="s">
        <v>19</v>
      </c>
      <c r="C3" s="806"/>
      <c r="D3" s="806"/>
      <c r="E3" s="806"/>
      <c r="F3" s="806"/>
      <c r="G3" s="806"/>
      <c r="H3" s="161"/>
    </row>
    <row r="4" spans="1:8" x14ac:dyDescent="0.25">
      <c r="B4" s="806" t="s">
        <v>56</v>
      </c>
      <c r="C4" s="806"/>
      <c r="D4" s="806"/>
      <c r="E4" s="806"/>
      <c r="F4" s="806"/>
      <c r="G4" s="806"/>
      <c r="H4" s="388"/>
    </row>
    <row r="5" spans="1:8" x14ac:dyDescent="0.25">
      <c r="B5" s="806" t="s">
        <v>70</v>
      </c>
      <c r="C5" s="806"/>
      <c r="D5" s="806"/>
      <c r="E5" s="806"/>
      <c r="F5" s="806"/>
      <c r="G5" s="806"/>
      <c r="H5" s="388"/>
    </row>
    <row r="6" spans="1:8" x14ac:dyDescent="0.25">
      <c r="B6" s="807" t="s">
        <v>71</v>
      </c>
      <c r="C6" s="807"/>
      <c r="D6" s="807"/>
      <c r="E6" s="807"/>
      <c r="F6" s="807"/>
      <c r="G6" s="807"/>
      <c r="H6" s="388"/>
    </row>
    <row r="7" spans="1:8" x14ac:dyDescent="0.25">
      <c r="B7" s="804" t="s">
        <v>3</v>
      </c>
      <c r="C7" s="804"/>
      <c r="D7" s="804"/>
      <c r="E7" s="804"/>
      <c r="F7" s="804"/>
      <c r="G7" s="804"/>
      <c r="H7" s="391"/>
    </row>
    <row r="8" spans="1:8" x14ac:dyDescent="0.25">
      <c r="A8" s="392"/>
      <c r="B8" s="606"/>
      <c r="C8" s="606"/>
      <c r="D8" s="606"/>
      <c r="E8" s="606"/>
      <c r="F8" s="606"/>
      <c r="G8" s="390"/>
      <c r="H8" s="161"/>
    </row>
    <row r="9" spans="1:8" x14ac:dyDescent="0.25">
      <c r="A9" s="393" t="s">
        <v>4</v>
      </c>
      <c r="B9" s="389"/>
      <c r="C9" s="389"/>
      <c r="D9" s="389"/>
      <c r="E9" s="606"/>
      <c r="F9" s="606"/>
      <c r="G9" s="389"/>
      <c r="H9" s="393" t="s">
        <v>4</v>
      </c>
    </row>
    <row r="10" spans="1:8" x14ac:dyDescent="0.25">
      <c r="A10" s="393" t="s">
        <v>5</v>
      </c>
      <c r="B10" s="389"/>
      <c r="C10" s="389"/>
      <c r="D10" s="389"/>
      <c r="E10" s="612" t="s">
        <v>7</v>
      </c>
      <c r="F10" s="394"/>
      <c r="G10" s="612" t="s">
        <v>8</v>
      </c>
      <c r="H10" s="393" t="s">
        <v>5</v>
      </c>
    </row>
    <row r="11" spans="1:8" x14ac:dyDescent="0.25">
      <c r="A11" s="393"/>
      <c r="B11" s="389"/>
      <c r="C11" s="389"/>
      <c r="D11" s="389"/>
      <c r="E11" s="606"/>
      <c r="F11" s="394"/>
      <c r="G11" s="606"/>
      <c r="H11" s="393"/>
    </row>
    <row r="12" spans="1:8" x14ac:dyDescent="0.25">
      <c r="A12" s="393">
        <v>1</v>
      </c>
      <c r="B12" s="395" t="s">
        <v>72</v>
      </c>
      <c r="C12" s="395"/>
      <c r="D12" s="395"/>
      <c r="E12" s="390"/>
      <c r="F12" s="390"/>
      <c r="G12" s="606"/>
      <c r="H12" s="393">
        <f>A12</f>
        <v>1</v>
      </c>
    </row>
    <row r="13" spans="1:8" x14ac:dyDescent="0.25">
      <c r="A13" s="393">
        <f>A12+1</f>
        <v>2</v>
      </c>
      <c r="B13" s="396" t="s">
        <v>73</v>
      </c>
      <c r="C13" s="397"/>
      <c r="D13" s="397"/>
      <c r="E13" s="401">
        <f>E57</f>
        <v>8.1106772546305286E-3</v>
      </c>
      <c r="F13" s="25"/>
      <c r="G13" s="398" t="str">
        <f>"Page 2; Line "&amp;A57</f>
        <v>Page 2; Line 6</v>
      </c>
      <c r="H13" s="393">
        <f>H12+1</f>
        <v>2</v>
      </c>
    </row>
    <row r="14" spans="1:8" x14ac:dyDescent="0.25">
      <c r="A14" s="393">
        <f t="shared" ref="A14:A36" si="0">A13+1</f>
        <v>3</v>
      </c>
      <c r="B14" s="389"/>
      <c r="C14" s="399"/>
      <c r="D14" s="399"/>
      <c r="E14" s="400"/>
      <c r="F14" s="394"/>
      <c r="G14" s="398"/>
      <c r="H14" s="393">
        <f t="shared" ref="H14:H36" si="1">H13+1</f>
        <v>3</v>
      </c>
    </row>
    <row r="15" spans="1:8" x14ac:dyDescent="0.25">
      <c r="A15" s="393">
        <f t="shared" si="0"/>
        <v>4</v>
      </c>
      <c r="B15" s="396" t="s">
        <v>74</v>
      </c>
      <c r="C15" s="397"/>
      <c r="D15" s="397"/>
      <c r="E15" s="401">
        <f>E62</f>
        <v>8.830077462377614E-3</v>
      </c>
      <c r="F15" s="25"/>
      <c r="G15" s="398" t="str">
        <f>"Page 2; Line "&amp;A62</f>
        <v>Page 2; Line 11</v>
      </c>
      <c r="H15" s="393">
        <f t="shared" si="1"/>
        <v>4</v>
      </c>
    </row>
    <row r="16" spans="1:8" x14ac:dyDescent="0.25">
      <c r="A16" s="393">
        <f t="shared" si="0"/>
        <v>5</v>
      </c>
      <c r="B16" s="390"/>
      <c r="C16" s="392"/>
      <c r="D16" s="392"/>
      <c r="E16" s="403"/>
      <c r="F16" s="404"/>
      <c r="G16" s="398"/>
      <c r="H16" s="393">
        <f t="shared" si="1"/>
        <v>5</v>
      </c>
    </row>
    <row r="17" spans="1:8" x14ac:dyDescent="0.25">
      <c r="A17" s="393">
        <f t="shared" si="0"/>
        <v>6</v>
      </c>
      <c r="B17" s="390" t="s">
        <v>75</v>
      </c>
      <c r="C17" s="392"/>
      <c r="D17" s="392"/>
      <c r="E17" s="401">
        <f>E67</f>
        <v>1.0623916722634533E-2</v>
      </c>
      <c r="F17" s="404"/>
      <c r="G17" s="398" t="str">
        <f>"Page 2; Line "&amp;A67</f>
        <v>Page 2; Line 16</v>
      </c>
      <c r="H17" s="393">
        <f t="shared" si="1"/>
        <v>6</v>
      </c>
    </row>
    <row r="18" spans="1:8" x14ac:dyDescent="0.25">
      <c r="A18" s="393">
        <f t="shared" si="0"/>
        <v>7</v>
      </c>
      <c r="B18" s="390"/>
      <c r="C18" s="392"/>
      <c r="D18" s="392"/>
      <c r="E18" s="403"/>
      <c r="F18" s="404"/>
      <c r="G18" s="398"/>
      <c r="H18" s="393">
        <f t="shared" si="1"/>
        <v>7</v>
      </c>
    </row>
    <row r="19" spans="1:8" x14ac:dyDescent="0.25">
      <c r="A19" s="393">
        <f t="shared" si="0"/>
        <v>8</v>
      </c>
      <c r="B19" s="396" t="s">
        <v>76</v>
      </c>
      <c r="C19" s="397"/>
      <c r="D19" s="397"/>
      <c r="E19" s="401">
        <f>E72</f>
        <v>3.269614673830928E-4</v>
      </c>
      <c r="F19" s="402"/>
      <c r="G19" s="398" t="str">
        <f>"Page 2; Line "&amp;A72</f>
        <v>Page 2; Line 21</v>
      </c>
      <c r="H19" s="393">
        <f t="shared" si="1"/>
        <v>8</v>
      </c>
    </row>
    <row r="20" spans="1:8" x14ac:dyDescent="0.25">
      <c r="A20" s="393">
        <f t="shared" si="0"/>
        <v>9</v>
      </c>
      <c r="B20" s="389"/>
      <c r="C20" s="399"/>
      <c r="D20" s="399"/>
      <c r="E20" s="400"/>
      <c r="F20" s="394"/>
      <c r="G20" s="398"/>
      <c r="H20" s="393">
        <f t="shared" si="1"/>
        <v>9</v>
      </c>
    </row>
    <row r="21" spans="1:8" x14ac:dyDescent="0.25">
      <c r="A21" s="393">
        <f t="shared" si="0"/>
        <v>10</v>
      </c>
      <c r="B21" s="396" t="s">
        <v>77</v>
      </c>
      <c r="C21" s="399"/>
      <c r="D21" s="399"/>
      <c r="E21" s="401">
        <f>E85</f>
        <v>1.8463492923166225E-3</v>
      </c>
      <c r="F21" s="394"/>
      <c r="G21" s="398" t="str">
        <f>"Page 2; Line "&amp;A85</f>
        <v>Page 2; Line 34</v>
      </c>
      <c r="H21" s="393">
        <f t="shared" si="1"/>
        <v>10</v>
      </c>
    </row>
    <row r="22" spans="1:8" x14ac:dyDescent="0.25">
      <c r="A22" s="393">
        <f t="shared" si="0"/>
        <v>11</v>
      </c>
      <c r="B22" s="389"/>
      <c r="C22" s="399"/>
      <c r="D22" s="399"/>
      <c r="E22" s="400"/>
      <c r="F22" s="394"/>
      <c r="G22" s="398"/>
      <c r="H22" s="393">
        <f t="shared" si="1"/>
        <v>11</v>
      </c>
    </row>
    <row r="23" spans="1:8" x14ac:dyDescent="0.25">
      <c r="A23" s="393">
        <f t="shared" si="0"/>
        <v>12</v>
      </c>
      <c r="B23" s="396" t="s">
        <v>78</v>
      </c>
      <c r="C23" s="397"/>
      <c r="D23" s="397"/>
      <c r="E23" s="401">
        <f>E102</f>
        <v>4.0153994024885471E-3</v>
      </c>
      <c r="F23" s="402"/>
      <c r="G23" s="398" t="str">
        <f>"Page 2; Line "&amp;A102</f>
        <v>Page 2; Line 51</v>
      </c>
      <c r="H23" s="393">
        <f t="shared" si="1"/>
        <v>12</v>
      </c>
    </row>
    <row r="24" spans="1:8" x14ac:dyDescent="0.25">
      <c r="A24" s="393">
        <f t="shared" si="0"/>
        <v>13</v>
      </c>
      <c r="B24" s="405"/>
      <c r="C24" s="406"/>
      <c r="D24" s="406"/>
      <c r="E24" s="407"/>
      <c r="F24" s="408"/>
      <c r="G24" s="398"/>
      <c r="H24" s="393">
        <f t="shared" si="1"/>
        <v>13</v>
      </c>
    </row>
    <row r="25" spans="1:8" x14ac:dyDescent="0.25">
      <c r="A25" s="393">
        <f t="shared" si="0"/>
        <v>14</v>
      </c>
      <c r="B25" s="396" t="s">
        <v>79</v>
      </c>
      <c r="C25" s="397"/>
      <c r="D25" s="397"/>
      <c r="E25" s="636">
        <f>SUM(E13:E23)</f>
        <v>3.3753381601830938E-2</v>
      </c>
      <c r="F25" s="25"/>
      <c r="G25" s="398" t="str">
        <f>"Sum Lines "&amp;A13&amp;" thru "&amp;A23&amp;""</f>
        <v>Sum Lines 2 thru 12</v>
      </c>
      <c r="H25" s="393">
        <f t="shared" si="1"/>
        <v>14</v>
      </c>
    </row>
    <row r="26" spans="1:8" x14ac:dyDescent="0.25">
      <c r="A26" s="393">
        <f t="shared" si="0"/>
        <v>15</v>
      </c>
      <c r="B26" s="389"/>
      <c r="C26" s="399"/>
      <c r="D26" s="399"/>
      <c r="E26" s="409"/>
      <c r="F26" s="410"/>
      <c r="G26" s="398"/>
      <c r="H26" s="393">
        <f t="shared" si="1"/>
        <v>15</v>
      </c>
    </row>
    <row r="27" spans="1:8" x14ac:dyDescent="0.25">
      <c r="A27" s="393">
        <f t="shared" si="0"/>
        <v>16</v>
      </c>
      <c r="B27" s="390" t="s">
        <v>80</v>
      </c>
      <c r="C27" s="411">
        <v>1.0274999999999999E-2</v>
      </c>
      <c r="D27" s="399"/>
      <c r="E27" s="412">
        <f>E25*C27</f>
        <v>3.4681599595881286E-4</v>
      </c>
      <c r="F27" s="413"/>
      <c r="G27" s="398" t="str">
        <f>"Line "&amp;A25&amp;" x Franchise Fee Rate"</f>
        <v>Line 14 x Franchise Fee Rate</v>
      </c>
      <c r="H27" s="393">
        <f t="shared" si="1"/>
        <v>16</v>
      </c>
    </row>
    <row r="28" spans="1:8" x14ac:dyDescent="0.25">
      <c r="A28" s="393">
        <f t="shared" si="0"/>
        <v>17</v>
      </c>
      <c r="B28" s="389"/>
      <c r="C28" s="399"/>
      <c r="D28" s="399"/>
      <c r="E28" s="414"/>
      <c r="F28" s="415"/>
      <c r="G28" s="398"/>
      <c r="H28" s="393">
        <f t="shared" si="1"/>
        <v>17</v>
      </c>
    </row>
    <row r="29" spans="1:8" ht="16.5" thickBot="1" x14ac:dyDescent="0.3">
      <c r="A29" s="393">
        <f t="shared" si="0"/>
        <v>18</v>
      </c>
      <c r="B29" s="389" t="s">
        <v>81</v>
      </c>
      <c r="C29" s="399"/>
      <c r="D29" s="399"/>
      <c r="E29" s="637">
        <f>E25+E27</f>
        <v>3.4100197597789754E-2</v>
      </c>
      <c r="F29" s="25"/>
      <c r="G29" s="398" t="str">
        <f>"Line "&amp;A25&amp;" + Line "&amp;A27</f>
        <v>Line 14 + Line 16</v>
      </c>
      <c r="H29" s="393">
        <f t="shared" si="1"/>
        <v>18</v>
      </c>
    </row>
    <row r="30" spans="1:8" ht="16.5" thickTop="1" x14ac:dyDescent="0.25">
      <c r="A30" s="393">
        <f t="shared" si="0"/>
        <v>19</v>
      </c>
      <c r="B30" s="390"/>
      <c r="C30" s="392"/>
      <c r="D30" s="392"/>
      <c r="E30" s="399"/>
      <c r="F30" s="389"/>
      <c r="G30" s="389"/>
      <c r="H30" s="393">
        <f t="shared" si="1"/>
        <v>19</v>
      </c>
    </row>
    <row r="31" spans="1:8" x14ac:dyDescent="0.25">
      <c r="A31" s="393">
        <f t="shared" si="0"/>
        <v>20</v>
      </c>
      <c r="B31" s="395" t="s">
        <v>82</v>
      </c>
      <c r="C31" s="416"/>
      <c r="D31" s="416"/>
      <c r="E31" s="392"/>
      <c r="F31" s="390"/>
      <c r="G31" s="389"/>
      <c r="H31" s="393">
        <f t="shared" si="1"/>
        <v>20</v>
      </c>
    </row>
    <row r="32" spans="1:8" x14ac:dyDescent="0.25">
      <c r="A32" s="393">
        <f t="shared" si="0"/>
        <v>21</v>
      </c>
      <c r="B32" s="396" t="s">
        <v>83</v>
      </c>
      <c r="C32" s="397"/>
      <c r="D32" s="397"/>
      <c r="E32" s="287">
        <v>85194</v>
      </c>
      <c r="F32" s="394"/>
      <c r="G32" s="398" t="s">
        <v>84</v>
      </c>
      <c r="H32" s="393">
        <f t="shared" si="1"/>
        <v>21</v>
      </c>
    </row>
    <row r="33" spans="1:10" x14ac:dyDescent="0.25">
      <c r="A33" s="393">
        <f t="shared" si="0"/>
        <v>22</v>
      </c>
      <c r="B33" s="396"/>
      <c r="C33" s="397"/>
      <c r="D33" s="397"/>
      <c r="E33" s="397"/>
      <c r="F33" s="396"/>
      <c r="G33" s="398"/>
      <c r="H33" s="393">
        <f t="shared" si="1"/>
        <v>22</v>
      </c>
    </row>
    <row r="34" spans="1:10" x14ac:dyDescent="0.25">
      <c r="A34" s="393">
        <f t="shared" si="0"/>
        <v>23</v>
      </c>
      <c r="B34" s="396" t="s">
        <v>85</v>
      </c>
      <c r="C34" s="397"/>
      <c r="D34" s="397"/>
      <c r="E34" s="636">
        <f>+E29</f>
        <v>3.4100197597789754E-2</v>
      </c>
      <c r="F34" s="25"/>
      <c r="G34" s="398" t="str">
        <f>"Line "&amp;A29&amp;" Above"</f>
        <v>Line 18 Above</v>
      </c>
      <c r="H34" s="393">
        <f t="shared" si="1"/>
        <v>23</v>
      </c>
    </row>
    <row r="35" spans="1:10" x14ac:dyDescent="0.25">
      <c r="A35" s="393">
        <f t="shared" si="0"/>
        <v>24</v>
      </c>
      <c r="B35" s="389"/>
      <c r="C35" s="399"/>
      <c r="D35" s="399"/>
      <c r="E35" s="417"/>
      <c r="F35" s="418"/>
      <c r="G35" s="398"/>
      <c r="H35" s="393">
        <f t="shared" si="1"/>
        <v>24</v>
      </c>
    </row>
    <row r="36" spans="1:10" ht="16.5" thickBot="1" x14ac:dyDescent="0.3">
      <c r="A36" s="393">
        <f t="shared" si="0"/>
        <v>25</v>
      </c>
      <c r="B36" s="389" t="s">
        <v>86</v>
      </c>
      <c r="C36" s="397"/>
      <c r="D36" s="397"/>
      <c r="E36" s="419">
        <f>E32*E34</f>
        <v>2905.1322341461005</v>
      </c>
      <c r="F36" s="25" t="s">
        <v>31</v>
      </c>
      <c r="G36" s="398" t="str">
        <f>"Line "&amp;A32&amp;" x Line "&amp;A34</f>
        <v>Line 21 x Line 23</v>
      </c>
      <c r="H36" s="393">
        <f t="shared" si="1"/>
        <v>25</v>
      </c>
      <c r="J36" s="610"/>
    </row>
    <row r="37" spans="1:10" ht="16.5" thickTop="1" x14ac:dyDescent="0.25">
      <c r="A37" s="393"/>
      <c r="B37" s="389"/>
      <c r="C37" s="397"/>
      <c r="D37" s="397"/>
      <c r="E37" s="789"/>
      <c r="F37" s="25"/>
      <c r="G37" s="398"/>
      <c r="H37" s="393"/>
      <c r="J37" s="610"/>
    </row>
    <row r="38" spans="1:10" x14ac:dyDescent="0.25">
      <c r="A38" s="393"/>
      <c r="B38" s="389"/>
      <c r="C38" s="396"/>
      <c r="D38" s="396"/>
      <c r="E38" s="420"/>
      <c r="F38" s="421"/>
      <c r="G38" s="398"/>
      <c r="H38" s="393"/>
    </row>
    <row r="39" spans="1:10" x14ac:dyDescent="0.25">
      <c r="A39" s="25" t="s">
        <v>31</v>
      </c>
      <c r="B39" s="23" t="s">
        <v>598</v>
      </c>
      <c r="C39" s="389"/>
      <c r="D39" s="389"/>
      <c r="E39" s="405"/>
      <c r="F39" s="405"/>
      <c r="G39" s="390"/>
      <c r="H39" s="161"/>
    </row>
    <row r="40" spans="1:10" x14ac:dyDescent="0.25">
      <c r="A40" s="25"/>
      <c r="B40" s="23" t="s">
        <v>599</v>
      </c>
      <c r="C40" s="389"/>
      <c r="D40" s="389"/>
      <c r="E40" s="405"/>
      <c r="F40" s="405"/>
      <c r="G40" s="390"/>
      <c r="H40" s="161"/>
    </row>
    <row r="41" spans="1:10" x14ac:dyDescent="0.25">
      <c r="A41" s="25"/>
      <c r="B41" s="23"/>
      <c r="C41" s="389"/>
      <c r="D41" s="389"/>
      <c r="E41" s="405"/>
      <c r="F41" s="405"/>
      <c r="G41" s="390"/>
      <c r="H41" s="161"/>
    </row>
    <row r="42" spans="1:10" x14ac:dyDescent="0.25">
      <c r="A42" s="25"/>
      <c r="B42" s="23"/>
      <c r="C42" s="389"/>
      <c r="D42" s="389"/>
      <c r="E42" s="405"/>
      <c r="F42" s="405"/>
      <c r="G42" s="390"/>
      <c r="H42" s="161"/>
    </row>
    <row r="43" spans="1:10" x14ac:dyDescent="0.25">
      <c r="A43" s="392"/>
      <c r="B43" s="805" t="str">
        <f>B3</f>
        <v>SAN DIEGO GAS &amp; ELECTRIC COMPANY</v>
      </c>
      <c r="C43" s="805"/>
      <c r="D43" s="805"/>
      <c r="E43" s="805"/>
      <c r="F43" s="805"/>
      <c r="G43" s="805"/>
      <c r="H43" s="161"/>
    </row>
    <row r="44" spans="1:10" x14ac:dyDescent="0.25">
      <c r="B44" s="805" t="str">
        <f>B4</f>
        <v>CITIZENS' SHARE OF THE BORDER EAST LINE</v>
      </c>
      <c r="C44" s="805"/>
      <c r="D44" s="805"/>
      <c r="E44" s="805"/>
      <c r="F44" s="805"/>
      <c r="G44" s="805"/>
      <c r="H44" s="406"/>
    </row>
    <row r="45" spans="1:10" x14ac:dyDescent="0.25">
      <c r="B45" s="806" t="str">
        <f>B5</f>
        <v xml:space="preserve">Section 2 - Non-Direct Expense Cost Component </v>
      </c>
      <c r="C45" s="806"/>
      <c r="D45" s="806"/>
      <c r="E45" s="806"/>
      <c r="F45" s="806"/>
      <c r="G45" s="806"/>
      <c r="H45" s="399"/>
    </row>
    <row r="46" spans="1:10" x14ac:dyDescent="0.25">
      <c r="B46" s="807" t="str">
        <f>B6</f>
        <v>Base Period &amp; True-Up Period 12 - Months Ending December 31, 2020</v>
      </c>
      <c r="C46" s="807"/>
      <c r="D46" s="807"/>
      <c r="E46" s="807"/>
      <c r="F46" s="807"/>
      <c r="G46" s="807"/>
      <c r="H46" s="399"/>
    </row>
    <row r="47" spans="1:10" x14ac:dyDescent="0.25">
      <c r="B47" s="804" t="str">
        <f>B7</f>
        <v>($1,000)</v>
      </c>
      <c r="C47" s="801"/>
      <c r="D47" s="801"/>
      <c r="E47" s="801"/>
      <c r="F47" s="801"/>
      <c r="G47" s="801"/>
      <c r="H47" s="88"/>
    </row>
    <row r="48" spans="1:10" x14ac:dyDescent="0.25">
      <c r="A48" s="422"/>
      <c r="B48" s="389"/>
      <c r="C48" s="389"/>
      <c r="D48" s="389"/>
      <c r="E48" s="389"/>
      <c r="F48" s="389"/>
      <c r="G48" s="389"/>
      <c r="H48" s="161"/>
    </row>
    <row r="49" spans="1:10" x14ac:dyDescent="0.25">
      <c r="A49" s="393" t="s">
        <v>4</v>
      </c>
      <c r="B49" s="389"/>
      <c r="C49" s="389"/>
      <c r="D49" s="389"/>
      <c r="E49" s="606"/>
      <c r="F49" s="606"/>
      <c r="G49" s="389"/>
      <c r="H49" s="393" t="s">
        <v>4</v>
      </c>
    </row>
    <row r="50" spans="1:10" x14ac:dyDescent="0.25">
      <c r="A50" s="393" t="s">
        <v>5</v>
      </c>
      <c r="B50" s="389"/>
      <c r="C50" s="389"/>
      <c r="D50" s="389"/>
      <c r="E50" s="612" t="s">
        <v>7</v>
      </c>
      <c r="F50" s="398"/>
      <c r="G50" s="612" t="s">
        <v>8</v>
      </c>
      <c r="H50" s="393" t="s">
        <v>5</v>
      </c>
    </row>
    <row r="51" spans="1:10" x14ac:dyDescent="0.25">
      <c r="A51" s="393"/>
      <c r="B51" s="389"/>
      <c r="C51" s="389"/>
      <c r="D51" s="389"/>
      <c r="E51" s="606"/>
      <c r="F51" s="606"/>
      <c r="G51" s="389"/>
      <c r="H51" s="393"/>
    </row>
    <row r="52" spans="1:10" x14ac:dyDescent="0.25">
      <c r="A52" s="393">
        <v>1</v>
      </c>
      <c r="B52" s="423" t="s">
        <v>87</v>
      </c>
      <c r="C52" s="423"/>
      <c r="D52" s="423"/>
      <c r="E52" s="638">
        <v>5400948.2173625827</v>
      </c>
      <c r="F52" s="25"/>
      <c r="G52" s="398" t="s">
        <v>88</v>
      </c>
      <c r="H52" s="393">
        <f>A52</f>
        <v>1</v>
      </c>
    </row>
    <row r="53" spans="1:10" x14ac:dyDescent="0.25">
      <c r="A53" s="393">
        <f>A52+1</f>
        <v>2</v>
      </c>
      <c r="B53" s="389"/>
      <c r="C53" s="389"/>
      <c r="D53" s="389"/>
      <c r="E53" s="388"/>
      <c r="F53" s="606"/>
      <c r="G53" s="389"/>
      <c r="H53" s="393">
        <f>H52+1</f>
        <v>2</v>
      </c>
    </row>
    <row r="54" spans="1:10" x14ac:dyDescent="0.25">
      <c r="A54" s="393">
        <f t="shared" ref="A54:A102" si="2">A53+1</f>
        <v>3</v>
      </c>
      <c r="B54" s="395" t="s">
        <v>89</v>
      </c>
      <c r="C54" s="395"/>
      <c r="D54" s="395"/>
      <c r="E54" s="424"/>
      <c r="F54" s="425"/>
      <c r="G54" s="389"/>
      <c r="H54" s="393">
        <f t="shared" ref="H54:H102" si="3">H53+1</f>
        <v>3</v>
      </c>
    </row>
    <row r="55" spans="1:10" x14ac:dyDescent="0.25">
      <c r="A55" s="393">
        <f t="shared" si="2"/>
        <v>4</v>
      </c>
      <c r="B55" s="396" t="s">
        <v>90</v>
      </c>
      <c r="C55" s="396"/>
      <c r="D55" s="396"/>
      <c r="E55" s="639">
        <v>43805.347860000002</v>
      </c>
      <c r="F55" s="25"/>
      <c r="G55" s="398" t="s">
        <v>91</v>
      </c>
      <c r="H55" s="393">
        <f t="shared" si="3"/>
        <v>4</v>
      </c>
      <c r="J55" s="426"/>
    </row>
    <row r="56" spans="1:10" x14ac:dyDescent="0.25">
      <c r="A56" s="393">
        <f t="shared" si="2"/>
        <v>5</v>
      </c>
      <c r="B56" s="396"/>
      <c r="C56" s="396"/>
      <c r="D56" s="396"/>
      <c r="E56" s="288"/>
      <c r="F56" s="427"/>
      <c r="G56" s="398"/>
      <c r="H56" s="393">
        <f t="shared" si="3"/>
        <v>5</v>
      </c>
      <c r="J56" s="426"/>
    </row>
    <row r="57" spans="1:10" x14ac:dyDescent="0.25">
      <c r="A57" s="393">
        <f t="shared" si="2"/>
        <v>6</v>
      </c>
      <c r="B57" s="396" t="s">
        <v>92</v>
      </c>
      <c r="C57" s="389"/>
      <c r="D57" s="389"/>
      <c r="E57" s="656">
        <f>E55/E52</f>
        <v>8.1106772546305286E-3</v>
      </c>
      <c r="F57" s="25"/>
      <c r="G57" s="398" t="s">
        <v>93</v>
      </c>
      <c r="H57" s="393">
        <f t="shared" si="3"/>
        <v>6</v>
      </c>
      <c r="J57" s="426"/>
    </row>
    <row r="58" spans="1:10" x14ac:dyDescent="0.25">
      <c r="A58" s="393">
        <f t="shared" si="2"/>
        <v>7</v>
      </c>
      <c r="B58" s="396"/>
      <c r="C58" s="396"/>
      <c r="D58" s="396"/>
      <c r="E58" s="430"/>
      <c r="F58" s="431"/>
      <c r="G58" s="398"/>
      <c r="H58" s="393">
        <f t="shared" si="3"/>
        <v>7</v>
      </c>
    </row>
    <row r="59" spans="1:10" x14ac:dyDescent="0.25">
      <c r="A59" s="393">
        <f t="shared" si="2"/>
        <v>8</v>
      </c>
      <c r="B59" s="395" t="s">
        <v>94</v>
      </c>
      <c r="C59" s="395"/>
      <c r="D59" s="395"/>
      <c r="E59" s="432"/>
      <c r="F59" s="433"/>
      <c r="G59" s="434"/>
      <c r="H59" s="393">
        <f t="shared" si="3"/>
        <v>8</v>
      </c>
    </row>
    <row r="60" spans="1:10" x14ac:dyDescent="0.25">
      <c r="A60" s="393">
        <f t="shared" si="2"/>
        <v>9</v>
      </c>
      <c r="B60" s="396" t="s">
        <v>95</v>
      </c>
      <c r="C60" s="396"/>
      <c r="D60" s="396"/>
      <c r="E60" s="435">
        <v>47690.791129601894</v>
      </c>
      <c r="F60" s="25" t="s">
        <v>31</v>
      </c>
      <c r="G60" s="398" t="s">
        <v>590</v>
      </c>
      <c r="H60" s="393">
        <f t="shared" si="3"/>
        <v>9</v>
      </c>
    </row>
    <row r="61" spans="1:10" x14ac:dyDescent="0.25">
      <c r="A61" s="393">
        <f t="shared" si="2"/>
        <v>10</v>
      </c>
      <c r="B61" s="389"/>
      <c r="C61" s="389"/>
      <c r="D61" s="389"/>
      <c r="E61" s="432"/>
      <c r="F61" s="433"/>
      <c r="G61" s="398"/>
      <c r="H61" s="393">
        <f t="shared" si="3"/>
        <v>10</v>
      </c>
    </row>
    <row r="62" spans="1:10" x14ac:dyDescent="0.25">
      <c r="A62" s="393">
        <f t="shared" si="2"/>
        <v>11</v>
      </c>
      <c r="B62" s="436" t="s">
        <v>96</v>
      </c>
      <c r="C62" s="434"/>
      <c r="D62" s="434"/>
      <c r="E62" s="656">
        <f>E60/E52</f>
        <v>8.830077462377614E-3</v>
      </c>
      <c r="F62" s="25"/>
      <c r="G62" s="398" t="s">
        <v>97</v>
      </c>
      <c r="H62" s="393">
        <f t="shared" si="3"/>
        <v>11</v>
      </c>
    </row>
    <row r="63" spans="1:10" x14ac:dyDescent="0.25">
      <c r="A63" s="393">
        <f t="shared" si="2"/>
        <v>12</v>
      </c>
      <c r="B63" s="434"/>
      <c r="C63" s="434"/>
      <c r="D63" s="434"/>
      <c r="E63" s="437"/>
      <c r="F63" s="438"/>
      <c r="G63" s="398"/>
      <c r="H63" s="393">
        <f t="shared" si="3"/>
        <v>12</v>
      </c>
    </row>
    <row r="64" spans="1:10" x14ac:dyDescent="0.25">
      <c r="A64" s="393">
        <f t="shared" si="2"/>
        <v>13</v>
      </c>
      <c r="B64" s="395" t="s">
        <v>98</v>
      </c>
      <c r="C64" s="434"/>
      <c r="D64" s="434"/>
      <c r="E64" s="437"/>
      <c r="F64" s="438"/>
      <c r="G64" s="398"/>
      <c r="H64" s="393">
        <f t="shared" si="3"/>
        <v>13</v>
      </c>
    </row>
    <row r="65" spans="1:8" x14ac:dyDescent="0.25">
      <c r="A65" s="393">
        <f t="shared" si="2"/>
        <v>14</v>
      </c>
      <c r="B65" s="436" t="s">
        <v>75</v>
      </c>
      <c r="C65" s="434"/>
      <c r="D65" s="434"/>
      <c r="E65" s="439">
        <v>57379.224084521513</v>
      </c>
      <c r="F65" s="438"/>
      <c r="G65" s="398" t="s">
        <v>99</v>
      </c>
      <c r="H65" s="393">
        <f t="shared" si="3"/>
        <v>14</v>
      </c>
    </row>
    <row r="66" spans="1:8" x14ac:dyDescent="0.25">
      <c r="A66" s="393">
        <f t="shared" si="2"/>
        <v>15</v>
      </c>
      <c r="B66" s="434"/>
      <c r="C66" s="434"/>
      <c r="D66" s="434"/>
      <c r="E66" s="432"/>
      <c r="F66" s="438"/>
      <c r="G66" s="398"/>
      <c r="H66" s="393">
        <f t="shared" si="3"/>
        <v>15</v>
      </c>
    </row>
    <row r="67" spans="1:8" x14ac:dyDescent="0.25">
      <c r="A67" s="393">
        <f t="shared" si="2"/>
        <v>16</v>
      </c>
      <c r="B67" s="436" t="s">
        <v>100</v>
      </c>
      <c r="C67" s="434"/>
      <c r="D67" s="434"/>
      <c r="E67" s="428">
        <f>E65/E52</f>
        <v>1.0623916722634533E-2</v>
      </c>
      <c r="F67" s="438"/>
      <c r="G67" s="398" t="s">
        <v>101</v>
      </c>
      <c r="H67" s="393">
        <f t="shared" si="3"/>
        <v>16</v>
      </c>
    </row>
    <row r="68" spans="1:8" x14ac:dyDescent="0.25">
      <c r="A68" s="393">
        <f t="shared" si="2"/>
        <v>17</v>
      </c>
      <c r="B68" s="434"/>
      <c r="C68" s="434"/>
      <c r="D68" s="434"/>
      <c r="E68" s="437"/>
      <c r="F68" s="438"/>
      <c r="G68" s="398"/>
      <c r="H68" s="393">
        <f t="shared" si="3"/>
        <v>17</v>
      </c>
    </row>
    <row r="69" spans="1:8" x14ac:dyDescent="0.25">
      <c r="A69" s="393">
        <f t="shared" si="2"/>
        <v>18</v>
      </c>
      <c r="B69" s="395" t="s">
        <v>102</v>
      </c>
      <c r="C69" s="395"/>
      <c r="D69" s="395"/>
      <c r="E69" s="437"/>
      <c r="F69" s="438"/>
      <c r="G69" s="398"/>
      <c r="H69" s="393">
        <f t="shared" si="3"/>
        <v>18</v>
      </c>
    </row>
    <row r="70" spans="1:8" x14ac:dyDescent="0.25">
      <c r="A70" s="393">
        <f t="shared" si="2"/>
        <v>19</v>
      </c>
      <c r="B70" s="396" t="s">
        <v>76</v>
      </c>
      <c r="C70" s="396"/>
      <c r="D70" s="396"/>
      <c r="E70" s="439">
        <v>1765.9019544089692</v>
      </c>
      <c r="F70" s="606"/>
      <c r="G70" s="398" t="s">
        <v>103</v>
      </c>
      <c r="H70" s="393">
        <f t="shared" si="3"/>
        <v>19</v>
      </c>
    </row>
    <row r="71" spans="1:8" x14ac:dyDescent="0.25">
      <c r="A71" s="393">
        <f t="shared" si="2"/>
        <v>20</v>
      </c>
      <c r="B71" s="434"/>
      <c r="C71" s="434"/>
      <c r="D71" s="434"/>
      <c r="E71" s="437"/>
      <c r="F71" s="438"/>
      <c r="G71" s="398"/>
      <c r="H71" s="393">
        <f t="shared" si="3"/>
        <v>20</v>
      </c>
    </row>
    <row r="72" spans="1:8" x14ac:dyDescent="0.25">
      <c r="A72" s="393">
        <f t="shared" si="2"/>
        <v>21</v>
      </c>
      <c r="B72" s="436" t="s">
        <v>104</v>
      </c>
      <c r="C72" s="434"/>
      <c r="D72" s="434"/>
      <c r="E72" s="428">
        <f>E70/E52</f>
        <v>3.269614673830928E-4</v>
      </c>
      <c r="F72" s="429"/>
      <c r="G72" s="398" t="s">
        <v>105</v>
      </c>
      <c r="H72" s="393">
        <f t="shared" si="3"/>
        <v>21</v>
      </c>
    </row>
    <row r="73" spans="1:8" x14ac:dyDescent="0.25">
      <c r="A73" s="393">
        <f t="shared" si="2"/>
        <v>22</v>
      </c>
      <c r="B73" s="434"/>
      <c r="C73" s="434"/>
      <c r="D73" s="434"/>
      <c r="E73" s="437"/>
      <c r="F73" s="438"/>
      <c r="G73" s="398"/>
      <c r="H73" s="393">
        <f t="shared" si="3"/>
        <v>22</v>
      </c>
    </row>
    <row r="74" spans="1:8" x14ac:dyDescent="0.25">
      <c r="A74" s="393">
        <f t="shared" si="2"/>
        <v>23</v>
      </c>
      <c r="B74" s="395" t="s">
        <v>106</v>
      </c>
      <c r="C74" s="395"/>
      <c r="D74" s="395"/>
      <c r="E74" s="440"/>
      <c r="F74" s="441"/>
      <c r="G74" s="398"/>
      <c r="H74" s="393">
        <f t="shared" si="3"/>
        <v>23</v>
      </c>
    </row>
    <row r="75" spans="1:8" x14ac:dyDescent="0.25">
      <c r="A75" s="393">
        <f t="shared" si="2"/>
        <v>24</v>
      </c>
      <c r="B75" s="442" t="s">
        <v>107</v>
      </c>
      <c r="C75" s="389"/>
      <c r="D75" s="389"/>
      <c r="E75" s="440"/>
      <c r="F75" s="441"/>
      <c r="G75" s="398"/>
      <c r="H75" s="393">
        <f t="shared" si="3"/>
        <v>24</v>
      </c>
    </row>
    <row r="76" spans="1:8" x14ac:dyDescent="0.25">
      <c r="A76" s="393">
        <f t="shared" si="2"/>
        <v>25</v>
      </c>
      <c r="B76" s="396" t="s">
        <v>108</v>
      </c>
      <c r="C76" s="396"/>
      <c r="D76" s="396"/>
      <c r="E76" s="443">
        <v>51269.428222656083</v>
      </c>
      <c r="F76" s="606"/>
      <c r="G76" s="398" t="s">
        <v>109</v>
      </c>
      <c r="H76" s="393">
        <f t="shared" si="3"/>
        <v>25</v>
      </c>
    </row>
    <row r="77" spans="1:8" x14ac:dyDescent="0.25">
      <c r="A77" s="393">
        <f t="shared" si="2"/>
        <v>26</v>
      </c>
      <c r="B77" s="396" t="s">
        <v>110</v>
      </c>
      <c r="C77" s="396"/>
      <c r="D77" s="396"/>
      <c r="E77" s="444">
        <v>37308.787275766081</v>
      </c>
      <c r="F77" s="606"/>
      <c r="G77" s="398" t="s">
        <v>111</v>
      </c>
      <c r="H77" s="393">
        <f t="shared" si="3"/>
        <v>26</v>
      </c>
    </row>
    <row r="78" spans="1:8" x14ac:dyDescent="0.25">
      <c r="A78" s="393">
        <f t="shared" si="2"/>
        <v>27</v>
      </c>
      <c r="B78" s="396" t="s">
        <v>112</v>
      </c>
      <c r="C78" s="396"/>
      <c r="D78" s="396"/>
      <c r="E78" s="445">
        <v>11437.017373700237</v>
      </c>
      <c r="F78" s="25" t="s">
        <v>31</v>
      </c>
      <c r="G78" s="398" t="s">
        <v>113</v>
      </c>
      <c r="H78" s="393">
        <f t="shared" si="3"/>
        <v>27</v>
      </c>
    </row>
    <row r="79" spans="1:8" x14ac:dyDescent="0.25">
      <c r="A79" s="393">
        <f t="shared" si="2"/>
        <v>28</v>
      </c>
      <c r="B79" s="396" t="s">
        <v>114</v>
      </c>
      <c r="C79" s="389"/>
      <c r="D79" s="389"/>
      <c r="E79" s="446">
        <f>SUM(E76:E78)</f>
        <v>100015.23287212239</v>
      </c>
      <c r="F79" s="25" t="s">
        <v>31</v>
      </c>
      <c r="G79" s="398" t="s">
        <v>115</v>
      </c>
      <c r="H79" s="393">
        <f t="shared" si="3"/>
        <v>28</v>
      </c>
    </row>
    <row r="80" spans="1:8" x14ac:dyDescent="0.25">
      <c r="A80" s="393">
        <f t="shared" si="2"/>
        <v>29</v>
      </c>
      <c r="B80" s="389"/>
      <c r="C80" s="389"/>
      <c r="D80" s="389"/>
      <c r="E80" s="447"/>
      <c r="F80" s="448"/>
      <c r="G80" s="398"/>
      <c r="H80" s="393">
        <f t="shared" si="3"/>
        <v>29</v>
      </c>
    </row>
    <row r="81" spans="1:8" x14ac:dyDescent="0.25">
      <c r="A81" s="393">
        <f t="shared" si="2"/>
        <v>30</v>
      </c>
      <c r="B81" s="396" t="s">
        <v>116</v>
      </c>
      <c r="C81" s="396"/>
      <c r="D81" s="396"/>
      <c r="E81" s="705">
        <v>9.9705181226905595E-2</v>
      </c>
      <c r="F81" s="25" t="s">
        <v>31</v>
      </c>
      <c r="G81" s="398" t="s">
        <v>117</v>
      </c>
      <c r="H81" s="393">
        <f t="shared" si="3"/>
        <v>30</v>
      </c>
    </row>
    <row r="82" spans="1:8" x14ac:dyDescent="0.25">
      <c r="A82" s="393">
        <f t="shared" si="2"/>
        <v>31</v>
      </c>
      <c r="B82" s="389"/>
      <c r="C82" s="389"/>
      <c r="D82" s="389"/>
      <c r="E82" s="447"/>
      <c r="F82" s="448"/>
      <c r="G82" s="398"/>
      <c r="H82" s="393">
        <f t="shared" si="3"/>
        <v>31</v>
      </c>
    </row>
    <row r="83" spans="1:8" x14ac:dyDescent="0.25">
      <c r="A83" s="393">
        <f t="shared" si="2"/>
        <v>32</v>
      </c>
      <c r="B83" s="396" t="s">
        <v>118</v>
      </c>
      <c r="C83" s="389"/>
      <c r="D83" s="389"/>
      <c r="E83" s="640">
        <f>E79*E81</f>
        <v>9972.0369189661287</v>
      </c>
      <c r="F83" s="25"/>
      <c r="G83" s="398" t="s">
        <v>119</v>
      </c>
      <c r="H83" s="393">
        <f t="shared" si="3"/>
        <v>32</v>
      </c>
    </row>
    <row r="84" spans="1:8" x14ac:dyDescent="0.25">
      <c r="A84" s="393">
        <f t="shared" si="2"/>
        <v>33</v>
      </c>
      <c r="B84" s="389"/>
      <c r="C84" s="389"/>
      <c r="D84" s="389"/>
      <c r="E84" s="447"/>
      <c r="F84" s="448"/>
      <c r="G84" s="398"/>
      <c r="H84" s="393">
        <f t="shared" si="3"/>
        <v>33</v>
      </c>
    </row>
    <row r="85" spans="1:8" x14ac:dyDescent="0.25">
      <c r="A85" s="393">
        <f t="shared" si="2"/>
        <v>34</v>
      </c>
      <c r="B85" s="396" t="s">
        <v>120</v>
      </c>
      <c r="C85" s="389"/>
      <c r="D85" s="389"/>
      <c r="E85" s="428">
        <f>E83/E52</f>
        <v>1.8463492923166225E-3</v>
      </c>
      <c r="F85" s="429"/>
      <c r="G85" s="398" t="s">
        <v>121</v>
      </c>
      <c r="H85" s="393">
        <f t="shared" si="3"/>
        <v>34</v>
      </c>
    </row>
    <row r="86" spans="1:8" x14ac:dyDescent="0.25">
      <c r="A86" s="393">
        <f t="shared" si="2"/>
        <v>35</v>
      </c>
      <c r="B86" s="396"/>
      <c r="C86" s="389"/>
      <c r="D86" s="389"/>
      <c r="E86" s="450"/>
      <c r="F86" s="429"/>
      <c r="G86" s="398"/>
      <c r="H86" s="393">
        <f t="shared" si="3"/>
        <v>35</v>
      </c>
    </row>
    <row r="87" spans="1:8" x14ac:dyDescent="0.25">
      <c r="A87" s="393">
        <f t="shared" si="2"/>
        <v>36</v>
      </c>
      <c r="B87" s="395" t="s">
        <v>122</v>
      </c>
      <c r="C87" s="451"/>
      <c r="D87" s="451"/>
      <c r="E87" s="452"/>
      <c r="F87" s="452"/>
      <c r="G87" s="452"/>
      <c r="H87" s="393">
        <f t="shared" si="3"/>
        <v>36</v>
      </c>
    </row>
    <row r="88" spans="1:8" x14ac:dyDescent="0.25">
      <c r="A88" s="393">
        <f t="shared" si="2"/>
        <v>37</v>
      </c>
      <c r="B88" s="396" t="s">
        <v>123</v>
      </c>
      <c r="C88" s="451"/>
      <c r="D88" s="451"/>
      <c r="E88" s="32">
        <v>29097.73014030722</v>
      </c>
      <c r="F88" s="452"/>
      <c r="G88" s="398" t="s">
        <v>124</v>
      </c>
      <c r="H88" s="393">
        <f t="shared" si="3"/>
        <v>37</v>
      </c>
    </row>
    <row r="89" spans="1:8" x14ac:dyDescent="0.25">
      <c r="A89" s="393">
        <f t="shared" si="2"/>
        <v>38</v>
      </c>
      <c r="B89" s="395"/>
      <c r="C89" s="451"/>
      <c r="D89" s="451"/>
      <c r="E89" s="453"/>
      <c r="F89" s="452"/>
      <c r="G89" s="452"/>
      <c r="H89" s="393">
        <f t="shared" si="3"/>
        <v>38</v>
      </c>
    </row>
    <row r="90" spans="1:8" x14ac:dyDescent="0.25">
      <c r="A90" s="393">
        <f t="shared" si="2"/>
        <v>39</v>
      </c>
      <c r="B90" s="396" t="s">
        <v>125</v>
      </c>
      <c r="C90" s="451"/>
      <c r="D90" s="451"/>
      <c r="E90" s="454">
        <v>61211.878237450255</v>
      </c>
      <c r="F90" s="452"/>
      <c r="G90" s="398" t="s">
        <v>126</v>
      </c>
      <c r="H90" s="393">
        <f t="shared" si="3"/>
        <v>39</v>
      </c>
    </row>
    <row r="91" spans="1:8" ht="20.25" x14ac:dyDescent="0.55000000000000004">
      <c r="A91" s="393">
        <f t="shared" si="2"/>
        <v>40</v>
      </c>
      <c r="B91" s="451"/>
      <c r="C91" s="455"/>
      <c r="D91" s="455"/>
      <c r="E91" s="456"/>
      <c r="F91" s="457"/>
      <c r="G91" s="451"/>
      <c r="H91" s="393">
        <f t="shared" si="3"/>
        <v>40</v>
      </c>
    </row>
    <row r="92" spans="1:8" x14ac:dyDescent="0.25">
      <c r="A92" s="393">
        <f t="shared" si="2"/>
        <v>41</v>
      </c>
      <c r="B92" s="396" t="s">
        <v>127</v>
      </c>
      <c r="C92" s="455"/>
      <c r="D92" s="455"/>
      <c r="E92" s="458">
        <f>E88+E90</f>
        <v>90309.608377757482</v>
      </c>
      <c r="F92" s="459"/>
      <c r="G92" s="398" t="s">
        <v>128</v>
      </c>
      <c r="H92" s="393">
        <f t="shared" si="3"/>
        <v>41</v>
      </c>
    </row>
    <row r="93" spans="1:8" x14ac:dyDescent="0.25">
      <c r="A93" s="393">
        <f t="shared" si="2"/>
        <v>42</v>
      </c>
      <c r="B93" s="460"/>
      <c r="C93" s="455"/>
      <c r="D93" s="455"/>
      <c r="E93" s="461"/>
      <c r="F93" s="459"/>
      <c r="G93" s="462"/>
      <c r="H93" s="393">
        <f t="shared" si="3"/>
        <v>42</v>
      </c>
    </row>
    <row r="94" spans="1:8" x14ac:dyDescent="0.25">
      <c r="A94" s="393">
        <f t="shared" si="2"/>
        <v>43</v>
      </c>
      <c r="B94" s="396" t="s">
        <v>116</v>
      </c>
      <c r="C94" s="455"/>
      <c r="D94" s="455"/>
      <c r="E94" s="706">
        <f>E81</f>
        <v>9.9705181226905595E-2</v>
      </c>
      <c r="F94" s="25" t="s">
        <v>31</v>
      </c>
      <c r="G94" s="398" t="s">
        <v>129</v>
      </c>
      <c r="H94" s="393">
        <f t="shared" si="3"/>
        <v>43</v>
      </c>
    </row>
    <row r="95" spans="1:8" x14ac:dyDescent="0.25">
      <c r="A95" s="393">
        <f t="shared" si="2"/>
        <v>44</v>
      </c>
      <c r="B95" s="451"/>
      <c r="C95" s="455"/>
      <c r="D95" s="455"/>
      <c r="E95" s="464"/>
      <c r="F95" s="465"/>
      <c r="G95" s="451"/>
      <c r="H95" s="393">
        <f t="shared" si="3"/>
        <v>44</v>
      </c>
    </row>
    <row r="96" spans="1:8" x14ac:dyDescent="0.25">
      <c r="A96" s="393">
        <f t="shared" si="2"/>
        <v>45</v>
      </c>
      <c r="B96" s="396" t="s">
        <v>130</v>
      </c>
      <c r="C96" s="455"/>
      <c r="D96" s="455"/>
      <c r="E96" s="466">
        <f>E92*E94</f>
        <v>9004.3358698351822</v>
      </c>
      <c r="F96" s="467"/>
      <c r="G96" s="398" t="s">
        <v>131</v>
      </c>
      <c r="H96" s="393">
        <f t="shared" si="3"/>
        <v>45</v>
      </c>
    </row>
    <row r="97" spans="1:9" x14ac:dyDescent="0.25">
      <c r="A97" s="393">
        <f t="shared" si="2"/>
        <v>46</v>
      </c>
      <c r="B97" s="460"/>
      <c r="C97" s="455"/>
      <c r="D97" s="455"/>
      <c r="E97" s="468"/>
      <c r="F97" s="467"/>
      <c r="G97" s="462"/>
      <c r="H97" s="393">
        <f t="shared" si="3"/>
        <v>46</v>
      </c>
    </row>
    <row r="98" spans="1:9" x14ac:dyDescent="0.25">
      <c r="A98" s="393">
        <f t="shared" si="2"/>
        <v>47</v>
      </c>
      <c r="B98" s="396" t="s">
        <v>132</v>
      </c>
      <c r="C98" s="455"/>
      <c r="D98" s="455"/>
      <c r="E98" s="469">
        <v>12682.628375034114</v>
      </c>
      <c r="F98" s="467"/>
      <c r="G98" s="398" t="s">
        <v>133</v>
      </c>
      <c r="H98" s="393">
        <f t="shared" si="3"/>
        <v>47</v>
      </c>
      <c r="I98" s="455"/>
    </row>
    <row r="99" spans="1:9" x14ac:dyDescent="0.25">
      <c r="A99" s="393">
        <f t="shared" si="2"/>
        <v>48</v>
      </c>
      <c r="B99" s="396"/>
      <c r="C99" s="455"/>
      <c r="D99" s="455"/>
      <c r="E99" s="256"/>
      <c r="F99" s="467"/>
      <c r="G99" s="398"/>
      <c r="H99" s="393">
        <f t="shared" si="3"/>
        <v>48</v>
      </c>
    </row>
    <row r="100" spans="1:9" x14ac:dyDescent="0.25">
      <c r="A100" s="393">
        <f t="shared" si="2"/>
        <v>49</v>
      </c>
      <c r="B100" s="396" t="s">
        <v>134</v>
      </c>
      <c r="C100" s="455"/>
      <c r="D100" s="455"/>
      <c r="E100" s="256">
        <f>E96+E98</f>
        <v>21686.964244869298</v>
      </c>
      <c r="F100" s="467"/>
      <c r="G100" s="398" t="s">
        <v>135</v>
      </c>
      <c r="H100" s="393">
        <f t="shared" si="3"/>
        <v>49</v>
      </c>
    </row>
    <row r="101" spans="1:9" x14ac:dyDescent="0.25">
      <c r="A101" s="393">
        <f t="shared" si="2"/>
        <v>50</v>
      </c>
      <c r="B101" s="451"/>
      <c r="C101" s="455"/>
      <c r="D101" s="455"/>
      <c r="E101" s="470"/>
      <c r="F101" s="451"/>
      <c r="G101" s="451"/>
      <c r="H101" s="393">
        <f t="shared" si="3"/>
        <v>50</v>
      </c>
    </row>
    <row r="102" spans="1:9" ht="16.5" thickBot="1" x14ac:dyDescent="0.3">
      <c r="A102" s="393">
        <f t="shared" si="2"/>
        <v>51</v>
      </c>
      <c r="B102" s="396" t="s">
        <v>136</v>
      </c>
      <c r="C102" s="455"/>
      <c r="D102" s="455"/>
      <c r="E102" s="471">
        <f>E100/E52</f>
        <v>4.0153994024885471E-3</v>
      </c>
      <c r="F102" s="472"/>
      <c r="G102" s="398" t="s">
        <v>137</v>
      </c>
      <c r="H102" s="393">
        <f t="shared" si="3"/>
        <v>51</v>
      </c>
    </row>
    <row r="103" spans="1:9" ht="16.5" thickTop="1" x14ac:dyDescent="0.25">
      <c r="A103" s="393"/>
      <c r="B103" s="396"/>
      <c r="C103" s="455"/>
      <c r="D103" s="455"/>
      <c r="E103" s="428"/>
      <c r="F103" s="472"/>
      <c r="G103" s="398"/>
      <c r="H103" s="393"/>
    </row>
    <row r="104" spans="1:9" x14ac:dyDescent="0.25">
      <c r="A104" s="399"/>
    </row>
    <row r="105" spans="1:9" x14ac:dyDescent="0.25">
      <c r="A105" s="25" t="s">
        <v>31</v>
      </c>
      <c r="B105" s="23" t="str">
        <f>B39</f>
        <v xml:space="preserve">Items in BOLD have changed due to A&amp;G adjustments and removal of CIAC related ADIT per SDG&amp;E's TO5 Cycle 4 Letter Order determination in ER22-527 as compared </v>
      </c>
    </row>
    <row r="106" spans="1:9" x14ac:dyDescent="0.25">
      <c r="A106" s="399"/>
      <c r="B106" s="23" t="str">
        <f>B40</f>
        <v>to the original Sunrise Appendix X Cycle 10 filing per ER22-139.</v>
      </c>
    </row>
    <row r="107" spans="1:9" x14ac:dyDescent="0.25">
      <c r="A107" s="399"/>
    </row>
    <row r="108" spans="1:9" x14ac:dyDescent="0.25">
      <c r="A108" s="399"/>
    </row>
    <row r="109" spans="1:9" x14ac:dyDescent="0.25">
      <c r="A109" s="399"/>
    </row>
    <row r="110" spans="1:9" x14ac:dyDescent="0.25">
      <c r="A110" s="399"/>
    </row>
    <row r="111" spans="1:9" x14ac:dyDescent="0.25">
      <c r="A111" s="399"/>
    </row>
    <row r="112" spans="1:9" x14ac:dyDescent="0.25">
      <c r="A112" s="399"/>
    </row>
    <row r="113" spans="1:1" x14ac:dyDescent="0.25">
      <c r="A113" s="399"/>
    </row>
    <row r="114" spans="1:1" x14ac:dyDescent="0.25">
      <c r="A114" s="399"/>
    </row>
    <row r="115" spans="1:1" x14ac:dyDescent="0.25">
      <c r="A115" s="399"/>
    </row>
    <row r="116" spans="1:1" x14ac:dyDescent="0.25">
      <c r="A116" s="399"/>
    </row>
    <row r="117" spans="1:1" x14ac:dyDescent="0.25">
      <c r="A117" s="399"/>
    </row>
    <row r="118" spans="1:1" x14ac:dyDescent="0.25">
      <c r="A118" s="399"/>
    </row>
    <row r="119" spans="1:1" x14ac:dyDescent="0.25">
      <c r="A119" s="399"/>
    </row>
    <row r="120" spans="1:1" x14ac:dyDescent="0.25">
      <c r="A120" s="399"/>
    </row>
    <row r="121" spans="1:1" x14ac:dyDescent="0.25">
      <c r="A121" s="399"/>
    </row>
    <row r="122" spans="1:1" x14ac:dyDescent="0.25">
      <c r="A122" s="399"/>
    </row>
    <row r="123" spans="1:1" x14ac:dyDescent="0.25">
      <c r="A123" s="399"/>
    </row>
    <row r="124" spans="1:1" x14ac:dyDescent="0.25">
      <c r="A124" s="399"/>
    </row>
    <row r="125" spans="1:1" x14ac:dyDescent="0.25">
      <c r="A125" s="399"/>
    </row>
    <row r="126" spans="1:1" x14ac:dyDescent="0.25">
      <c r="A126" s="399"/>
    </row>
    <row r="127" spans="1:1" x14ac:dyDescent="0.25">
      <c r="A127" s="399"/>
    </row>
    <row r="128" spans="1:1" x14ac:dyDescent="0.25">
      <c r="A128" s="399"/>
    </row>
    <row r="129" spans="1:1" x14ac:dyDescent="0.25">
      <c r="A129" s="399"/>
    </row>
    <row r="130" spans="1:1" x14ac:dyDescent="0.25">
      <c r="A130" s="399"/>
    </row>
    <row r="131" spans="1:1" x14ac:dyDescent="0.25">
      <c r="A131" s="399"/>
    </row>
    <row r="132" spans="1:1" x14ac:dyDescent="0.25">
      <c r="A132" s="399"/>
    </row>
    <row r="133" spans="1:1" x14ac:dyDescent="0.25">
      <c r="A133" s="399"/>
    </row>
    <row r="134" spans="1:1" x14ac:dyDescent="0.25">
      <c r="A134" s="399"/>
    </row>
    <row r="135" spans="1:1" x14ac:dyDescent="0.25">
      <c r="A135" s="399"/>
    </row>
    <row r="136" spans="1:1" x14ac:dyDescent="0.25">
      <c r="A136" s="399"/>
    </row>
    <row r="137" spans="1:1" x14ac:dyDescent="0.25">
      <c r="A137" s="399"/>
    </row>
    <row r="138" spans="1:1" x14ac:dyDescent="0.25">
      <c r="A138" s="399"/>
    </row>
    <row r="139" spans="1:1" x14ac:dyDescent="0.25">
      <c r="A139" s="399"/>
    </row>
    <row r="140" spans="1:1" x14ac:dyDescent="0.25">
      <c r="A140" s="399"/>
    </row>
    <row r="141" spans="1:1" x14ac:dyDescent="0.25">
      <c r="A141" s="399"/>
    </row>
    <row r="142" spans="1:1" x14ac:dyDescent="0.25">
      <c r="A142" s="399"/>
    </row>
    <row r="143" spans="1:1" x14ac:dyDescent="0.25">
      <c r="A143" s="399"/>
    </row>
    <row r="144" spans="1:1" x14ac:dyDescent="0.25">
      <c r="A144" s="399"/>
    </row>
    <row r="145" spans="1:6" x14ac:dyDescent="0.25">
      <c r="A145" s="399"/>
    </row>
    <row r="146" spans="1:6" x14ac:dyDescent="0.25">
      <c r="A146" s="399"/>
    </row>
    <row r="147" spans="1:6" x14ac:dyDescent="0.25">
      <c r="A147" s="399"/>
    </row>
    <row r="148" spans="1:6" x14ac:dyDescent="0.25">
      <c r="A148" s="399"/>
    </row>
    <row r="149" spans="1:6" x14ac:dyDescent="0.25">
      <c r="A149" s="399"/>
    </row>
    <row r="150" spans="1:6" x14ac:dyDescent="0.25">
      <c r="A150" s="399"/>
    </row>
    <row r="151" spans="1:6" x14ac:dyDescent="0.25">
      <c r="A151" s="399"/>
    </row>
    <row r="152" spans="1:6" x14ac:dyDescent="0.25">
      <c r="A152" s="399"/>
    </row>
    <row r="153" spans="1:6" x14ac:dyDescent="0.25">
      <c r="A153" s="399"/>
    </row>
    <row r="154" spans="1:6" x14ac:dyDescent="0.25">
      <c r="A154" s="399"/>
    </row>
    <row r="155" spans="1:6" x14ac:dyDescent="0.25">
      <c r="A155" s="399"/>
    </row>
    <row r="156" spans="1:6" x14ac:dyDescent="0.25">
      <c r="A156" s="399"/>
    </row>
    <row r="157" spans="1:6" x14ac:dyDescent="0.25">
      <c r="A157" s="399"/>
    </row>
    <row r="158" spans="1:6" x14ac:dyDescent="0.25">
      <c r="A158" s="399"/>
      <c r="B158" s="390"/>
      <c r="C158" s="390"/>
      <c r="D158" s="390"/>
      <c r="E158" s="390"/>
      <c r="F158" s="390"/>
    </row>
    <row r="159" spans="1:6" x14ac:dyDescent="0.25">
      <c r="A159" s="399"/>
      <c r="B159" s="390"/>
      <c r="C159" s="390"/>
      <c r="D159" s="390"/>
      <c r="E159" s="390"/>
      <c r="F159" s="390"/>
    </row>
    <row r="164" spans="1:6" x14ac:dyDescent="0.25">
      <c r="A164" s="392"/>
      <c r="B164" s="390"/>
      <c r="C164" s="390"/>
      <c r="D164" s="390"/>
      <c r="E164" s="473"/>
      <c r="F164" s="473"/>
    </row>
  </sheetData>
  <mergeCells count="10">
    <mergeCell ref="B3:G3"/>
    <mergeCell ref="B43:G43"/>
    <mergeCell ref="B45:G45"/>
    <mergeCell ref="B46:G46"/>
    <mergeCell ref="B47:G47"/>
    <mergeCell ref="B4:G4"/>
    <mergeCell ref="B5:G5"/>
    <mergeCell ref="B6:G6"/>
    <mergeCell ref="B7:G7"/>
    <mergeCell ref="B44:G44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 xml:space="preserve">&amp;C&amp;"Times New Roman,Bold"&amp;7AS FILED SEC. 2 WITH COST ADJ. INCL. IN APPENDIX X CYCLE 11 (ER23-109) </oddHeader>
    <oddFooter>&amp;L&amp;F&amp;CPage 6.&amp;P&amp;R&amp;A</oddFooter>
  </headerFooter>
  <rowBreaks count="1" manualBreakCount="1">
    <brk id="4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R42"/>
  <sheetViews>
    <sheetView zoomScale="80" zoomScaleNormal="80" workbookViewId="0"/>
  </sheetViews>
  <sheetFormatPr defaultColWidth="9.140625" defaultRowHeight="15.75" x14ac:dyDescent="0.25"/>
  <cols>
    <col min="1" max="1" width="5.140625" style="36" customWidth="1"/>
    <col min="2" max="2" width="12.5703125" style="37" customWidth="1"/>
    <col min="3" max="3" width="20" style="37" customWidth="1"/>
    <col min="4" max="7" width="21.5703125" style="37" customWidth="1"/>
    <col min="8" max="8" width="22.85546875" style="37" bestFit="1" customWidth="1"/>
    <col min="9" max="12" width="21.5703125" style="37" customWidth="1"/>
    <col min="13" max="13" width="2.140625" style="37" bestFit="1" customWidth="1"/>
    <col min="14" max="14" width="21.5703125" style="37" customWidth="1"/>
    <col min="15" max="15" width="5.140625" style="36" customWidth="1"/>
    <col min="16" max="16" width="13.5703125" style="37" customWidth="1"/>
    <col min="17" max="17" width="12.5703125" style="37" customWidth="1"/>
    <col min="18" max="16384" width="9.140625" style="37"/>
  </cols>
  <sheetData>
    <row r="1" spans="1:15" x14ac:dyDescent="0.25">
      <c r="I1" s="607"/>
      <c r="N1" s="38"/>
    </row>
    <row r="2" spans="1:15" x14ac:dyDescent="0.25">
      <c r="B2" s="808" t="s">
        <v>19</v>
      </c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</row>
    <row r="3" spans="1:15" x14ac:dyDescent="0.25">
      <c r="B3" s="801" t="s">
        <v>56</v>
      </c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</row>
    <row r="4" spans="1:15" x14ac:dyDescent="0.25">
      <c r="B4" s="801" t="s">
        <v>138</v>
      </c>
      <c r="C4" s="801"/>
      <c r="D4" s="801"/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</row>
    <row r="5" spans="1:15" x14ac:dyDescent="0.25">
      <c r="B5" s="809" t="s">
        <v>139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</row>
    <row r="6" spans="1:15" x14ac:dyDescent="0.25">
      <c r="B6" s="810" t="s">
        <v>3</v>
      </c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369"/>
    </row>
    <row r="7" spans="1:15" x14ac:dyDescent="0.25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15" x14ac:dyDescent="0.25">
      <c r="A8" s="36" t="s">
        <v>4</v>
      </c>
      <c r="B8" s="53"/>
      <c r="E8" s="43"/>
      <c r="F8" s="133"/>
      <c r="G8" s="133"/>
      <c r="O8" s="36" t="s">
        <v>4</v>
      </c>
    </row>
    <row r="9" spans="1:15" x14ac:dyDescent="0.25">
      <c r="A9" s="36" t="s">
        <v>5</v>
      </c>
      <c r="B9" s="53"/>
      <c r="E9" s="43"/>
      <c r="F9" s="133"/>
      <c r="G9" s="133"/>
      <c r="O9" s="36" t="s">
        <v>5</v>
      </c>
    </row>
    <row r="10" spans="1:15" x14ac:dyDescent="0.25">
      <c r="A10" s="36">
        <v>1</v>
      </c>
      <c r="D10" s="25"/>
      <c r="E10" s="43"/>
      <c r="I10" s="25"/>
      <c r="J10" s="289"/>
      <c r="K10" s="25"/>
      <c r="L10" s="25"/>
      <c r="M10" s="25"/>
      <c r="N10" s="25"/>
      <c r="O10" s="36">
        <v>1</v>
      </c>
    </row>
    <row r="11" spans="1:15" x14ac:dyDescent="0.25">
      <c r="A11" s="36">
        <f t="shared" ref="A11:A31" si="0">A10+1</f>
        <v>2</v>
      </c>
      <c r="C11" s="290" t="s">
        <v>140</v>
      </c>
      <c r="D11" s="290" t="s">
        <v>141</v>
      </c>
      <c r="E11" s="290" t="s">
        <v>142</v>
      </c>
      <c r="F11" s="290" t="s">
        <v>143</v>
      </c>
      <c r="G11" s="290" t="s">
        <v>144</v>
      </c>
      <c r="H11" s="290" t="s">
        <v>145</v>
      </c>
      <c r="I11" s="290" t="s">
        <v>146</v>
      </c>
      <c r="J11" s="290" t="s">
        <v>147</v>
      </c>
      <c r="K11" s="290" t="s">
        <v>148</v>
      </c>
      <c r="L11" s="290" t="s">
        <v>149</v>
      </c>
      <c r="M11" s="290"/>
      <c r="N11" s="290" t="s">
        <v>150</v>
      </c>
      <c r="O11" s="36">
        <f t="shared" ref="O11:O31" si="1">O10+1</f>
        <v>2</v>
      </c>
    </row>
    <row r="12" spans="1:15" x14ac:dyDescent="0.25">
      <c r="A12" s="36">
        <f t="shared" si="0"/>
        <v>3</v>
      </c>
      <c r="B12" s="43" t="s">
        <v>151</v>
      </c>
      <c r="C12" s="36"/>
      <c r="D12" s="36"/>
      <c r="E12" s="36"/>
      <c r="F12" s="36" t="str">
        <f>"= "&amp;F11&amp;"; Line "&amp;A31&amp;" / 12"</f>
        <v>= Col. 4; Line 22 / 12</v>
      </c>
      <c r="G12" s="36"/>
      <c r="H12" s="68" t="str">
        <f>"= Sum "&amp;E11&amp;" thru "&amp;G11</f>
        <v>= Sum Col. 3 thru Col. 5</v>
      </c>
      <c r="I12" s="68" t="str">
        <f>"= "&amp;D11&amp;" - "&amp;H11</f>
        <v>= Col. 2 - Col. 6</v>
      </c>
      <c r="J12" s="36"/>
      <c r="K12" s="36" t="str">
        <f>"See Footnote "&amp;A41</f>
        <v>See Footnote 6</v>
      </c>
      <c r="L12" s="36" t="str">
        <f>"See Footnote "&amp;A42</f>
        <v>See Footnote 7</v>
      </c>
      <c r="M12" s="36"/>
      <c r="N12" s="68" t="str">
        <f>"= "&amp;K11&amp;" + "&amp;L11</f>
        <v>= Col. 9 + Col. 10</v>
      </c>
      <c r="O12" s="36">
        <f t="shared" si="1"/>
        <v>3</v>
      </c>
    </row>
    <row r="13" spans="1:15" x14ac:dyDescent="0.25">
      <c r="A13" s="36">
        <f t="shared" si="0"/>
        <v>4</v>
      </c>
      <c r="B13" s="43"/>
      <c r="C13" s="36"/>
      <c r="D13" s="36"/>
      <c r="E13" s="36"/>
      <c r="F13" s="36"/>
      <c r="G13" s="36"/>
      <c r="H13" s="68"/>
      <c r="I13" s="68"/>
      <c r="J13" s="36"/>
      <c r="K13" s="36"/>
      <c r="L13" s="36"/>
      <c r="M13" s="36"/>
      <c r="N13" s="68"/>
      <c r="O13" s="36">
        <f t="shared" si="1"/>
        <v>4</v>
      </c>
    </row>
    <row r="14" spans="1:15" x14ac:dyDescent="0.25">
      <c r="A14" s="36">
        <f t="shared" si="0"/>
        <v>5</v>
      </c>
      <c r="C14" s="290"/>
      <c r="H14" s="369"/>
      <c r="I14" s="25" t="s">
        <v>31</v>
      </c>
      <c r="K14" s="369" t="s">
        <v>152</v>
      </c>
      <c r="N14" s="369" t="s">
        <v>152</v>
      </c>
      <c r="O14" s="36">
        <f t="shared" si="1"/>
        <v>5</v>
      </c>
    </row>
    <row r="15" spans="1:15" x14ac:dyDescent="0.25">
      <c r="A15" s="36">
        <f t="shared" si="0"/>
        <v>6</v>
      </c>
      <c r="C15" s="290"/>
      <c r="F15" s="369"/>
      <c r="G15" s="369"/>
      <c r="H15" s="369"/>
      <c r="I15" s="369" t="s">
        <v>153</v>
      </c>
      <c r="J15" s="369"/>
      <c r="K15" s="369" t="s">
        <v>154</v>
      </c>
      <c r="N15" s="369" t="s">
        <v>154</v>
      </c>
      <c r="O15" s="36">
        <f t="shared" si="1"/>
        <v>6</v>
      </c>
    </row>
    <row r="16" spans="1:15" x14ac:dyDescent="0.25">
      <c r="A16" s="36">
        <f t="shared" si="0"/>
        <v>7</v>
      </c>
      <c r="C16" s="369"/>
      <c r="D16" s="369" t="s">
        <v>153</v>
      </c>
      <c r="E16" s="369" t="s">
        <v>153</v>
      </c>
      <c r="F16" s="369" t="s">
        <v>155</v>
      </c>
      <c r="G16" s="369"/>
      <c r="H16" s="369" t="s">
        <v>156</v>
      </c>
      <c r="I16" s="369" t="s">
        <v>154</v>
      </c>
      <c r="J16" s="369" t="s">
        <v>153</v>
      </c>
      <c r="K16" s="369" t="s">
        <v>157</v>
      </c>
      <c r="N16" s="369" t="s">
        <v>157</v>
      </c>
      <c r="O16" s="36">
        <f t="shared" si="1"/>
        <v>7</v>
      </c>
    </row>
    <row r="17" spans="1:18" x14ac:dyDescent="0.25">
      <c r="A17" s="36">
        <f t="shared" si="0"/>
        <v>8</v>
      </c>
      <c r="C17" s="369"/>
      <c r="D17" s="369" t="s">
        <v>158</v>
      </c>
      <c r="E17" s="369" t="s">
        <v>158</v>
      </c>
      <c r="F17" s="369" t="s">
        <v>158</v>
      </c>
      <c r="G17" s="369" t="s">
        <v>159</v>
      </c>
      <c r="H17" s="369" t="s">
        <v>158</v>
      </c>
      <c r="I17" s="369" t="s">
        <v>157</v>
      </c>
      <c r="J17" s="369" t="s">
        <v>160</v>
      </c>
      <c r="K17" s="369" t="s">
        <v>161</v>
      </c>
      <c r="L17" s="369"/>
      <c r="M17" s="369"/>
      <c r="N17" s="369" t="s">
        <v>161</v>
      </c>
      <c r="O17" s="36">
        <f t="shared" si="1"/>
        <v>8</v>
      </c>
    </row>
    <row r="18" spans="1:18" ht="18.75" x14ac:dyDescent="0.25">
      <c r="A18" s="36">
        <f t="shared" si="0"/>
        <v>9</v>
      </c>
      <c r="B18" s="291" t="s">
        <v>162</v>
      </c>
      <c r="C18" s="291" t="s">
        <v>163</v>
      </c>
      <c r="D18" s="133" t="s">
        <v>164</v>
      </c>
      <c r="E18" s="133" t="s">
        <v>165</v>
      </c>
      <c r="F18" s="133" t="s">
        <v>166</v>
      </c>
      <c r="G18" s="133" t="s">
        <v>167</v>
      </c>
      <c r="H18" s="133" t="s">
        <v>168</v>
      </c>
      <c r="I18" s="133" t="s">
        <v>161</v>
      </c>
      <c r="J18" s="133" t="s">
        <v>169</v>
      </c>
      <c r="K18" s="133" t="s">
        <v>595</v>
      </c>
      <c r="L18" s="133" t="s">
        <v>160</v>
      </c>
      <c r="M18" s="133"/>
      <c r="N18" s="133" t="s">
        <v>171</v>
      </c>
      <c r="O18" s="36">
        <f t="shared" si="1"/>
        <v>9</v>
      </c>
    </row>
    <row r="19" spans="1:18" x14ac:dyDescent="0.25">
      <c r="A19" s="36">
        <f t="shared" si="0"/>
        <v>10</v>
      </c>
      <c r="B19" s="96" t="s">
        <v>172</v>
      </c>
      <c r="C19" s="292" t="str">
        <f>RIGHT(B5,4)</f>
        <v>2020</v>
      </c>
      <c r="D19" s="131">
        <f>'Pg3 Rev App. X C10'!C40</f>
        <v>322.73237543550198</v>
      </c>
      <c r="E19" s="386">
        <v>288.95415264480692</v>
      </c>
      <c r="F19" s="386">
        <v>-84.485757445093</v>
      </c>
      <c r="G19" s="386">
        <v>0</v>
      </c>
      <c r="H19" s="256">
        <f>SUM(E19:G19)</f>
        <v>204.46839519971394</v>
      </c>
      <c r="I19" s="776">
        <f>D19-H19</f>
        <v>118.26398023578804</v>
      </c>
      <c r="J19" s="293">
        <v>4.1999999999999997E-3</v>
      </c>
      <c r="K19" s="775">
        <f>I19</f>
        <v>118.26398023578804</v>
      </c>
      <c r="L19" s="294">
        <f>(I19/2)*J19</f>
        <v>0.24835435849515486</v>
      </c>
      <c r="M19" s="294"/>
      <c r="N19" s="387">
        <f t="shared" ref="N19:N30" si="2">K19+L19</f>
        <v>118.51233459428319</v>
      </c>
      <c r="O19" s="36">
        <f t="shared" si="1"/>
        <v>10</v>
      </c>
      <c r="P19" s="35"/>
    </row>
    <row r="20" spans="1:18" x14ac:dyDescent="0.25">
      <c r="A20" s="36">
        <f t="shared" si="0"/>
        <v>11</v>
      </c>
      <c r="B20" s="96" t="s">
        <v>173</v>
      </c>
      <c r="C20" s="292" t="str">
        <f>C19</f>
        <v>2020</v>
      </c>
      <c r="D20" s="754">
        <f>$D$19</f>
        <v>322.73237543550198</v>
      </c>
      <c r="E20" s="116">
        <f>$E$19</f>
        <v>288.95415264480692</v>
      </c>
      <c r="F20" s="116">
        <f t="shared" ref="F20:F30" si="3">$F$19</f>
        <v>-84.485757445093</v>
      </c>
      <c r="G20" s="116">
        <f t="shared" ref="G20:G30" si="4">$G$19</f>
        <v>0</v>
      </c>
      <c r="H20" s="184">
        <f>SUM(E20:G20)</f>
        <v>204.46839519971394</v>
      </c>
      <c r="I20" s="777">
        <f t="shared" ref="I20:I30" si="5">D20-H20</f>
        <v>118.26398023578804</v>
      </c>
      <c r="J20" s="293">
        <v>3.8999999999999998E-3</v>
      </c>
      <c r="K20" s="297">
        <f t="shared" ref="K20:K30" si="6">N19+I20</f>
        <v>236.77631483007121</v>
      </c>
      <c r="L20" s="295">
        <f t="shared" ref="L20:L30" si="7">(N19+K20)/2*J20</f>
        <v>0.69281286637749107</v>
      </c>
      <c r="M20" s="295"/>
      <c r="N20" s="298">
        <f t="shared" si="2"/>
        <v>237.46912769644871</v>
      </c>
      <c r="O20" s="36">
        <f t="shared" si="1"/>
        <v>11</v>
      </c>
      <c r="P20" s="132"/>
    </row>
    <row r="21" spans="1:18" x14ac:dyDescent="0.25">
      <c r="A21" s="36">
        <f t="shared" si="0"/>
        <v>12</v>
      </c>
      <c r="B21" s="96" t="s">
        <v>174</v>
      </c>
      <c r="C21" s="292" t="str">
        <f>C19</f>
        <v>2020</v>
      </c>
      <c r="D21" s="754">
        <f t="shared" ref="D21:D30" si="8">$D$19</f>
        <v>322.73237543550198</v>
      </c>
      <c r="E21" s="116">
        <f t="shared" ref="E21:E30" si="9">$E$19</f>
        <v>288.95415264480692</v>
      </c>
      <c r="F21" s="116">
        <f t="shared" si="3"/>
        <v>-84.485757445093</v>
      </c>
      <c r="G21" s="116">
        <f t="shared" si="4"/>
        <v>0</v>
      </c>
      <c r="H21" s="184">
        <f t="shared" ref="H21:H29" si="10">SUM(E21:G21)</f>
        <v>204.46839519971394</v>
      </c>
      <c r="I21" s="777">
        <f t="shared" si="5"/>
        <v>118.26398023578804</v>
      </c>
      <c r="J21" s="293">
        <v>4.1999999999999997E-3</v>
      </c>
      <c r="K21" s="297">
        <f t="shared" si="6"/>
        <v>355.73310793223675</v>
      </c>
      <c r="L21" s="295">
        <f t="shared" si="7"/>
        <v>1.2457246948202394</v>
      </c>
      <c r="M21" s="295"/>
      <c r="N21" s="298">
        <f t="shared" si="2"/>
        <v>356.97883262705699</v>
      </c>
      <c r="O21" s="36">
        <f t="shared" si="1"/>
        <v>12</v>
      </c>
      <c r="P21" s="132"/>
    </row>
    <row r="22" spans="1:18" x14ac:dyDescent="0.25">
      <c r="A22" s="36">
        <f t="shared" si="0"/>
        <v>13</v>
      </c>
      <c r="B22" s="96" t="s">
        <v>175</v>
      </c>
      <c r="C22" s="292" t="str">
        <f>C19</f>
        <v>2020</v>
      </c>
      <c r="D22" s="754">
        <f t="shared" si="8"/>
        <v>322.73237543550198</v>
      </c>
      <c r="E22" s="116">
        <f t="shared" si="9"/>
        <v>288.95415264480692</v>
      </c>
      <c r="F22" s="116">
        <f t="shared" si="3"/>
        <v>-84.485757445093</v>
      </c>
      <c r="G22" s="116">
        <f t="shared" si="4"/>
        <v>0</v>
      </c>
      <c r="H22" s="184">
        <f t="shared" si="10"/>
        <v>204.46839519971394</v>
      </c>
      <c r="I22" s="777">
        <f>D22-H22</f>
        <v>118.26398023578804</v>
      </c>
      <c r="J22" s="293">
        <v>3.8999999999999998E-3</v>
      </c>
      <c r="K22" s="297">
        <f t="shared" si="6"/>
        <v>475.24281286284503</v>
      </c>
      <c r="L22" s="295">
        <f t="shared" si="7"/>
        <v>1.6228322087053089</v>
      </c>
      <c r="M22" s="295"/>
      <c r="N22" s="298">
        <f t="shared" si="2"/>
        <v>476.86564507155032</v>
      </c>
      <c r="O22" s="36">
        <f t="shared" si="1"/>
        <v>13</v>
      </c>
      <c r="P22" s="132"/>
      <c r="R22" s="296"/>
    </row>
    <row r="23" spans="1:18" x14ac:dyDescent="0.25">
      <c r="A23" s="36">
        <f t="shared" si="0"/>
        <v>14</v>
      </c>
      <c r="B23" s="96" t="s">
        <v>176</v>
      </c>
      <c r="C23" s="292" t="str">
        <f>C19</f>
        <v>2020</v>
      </c>
      <c r="D23" s="754">
        <f t="shared" si="8"/>
        <v>322.73237543550198</v>
      </c>
      <c r="E23" s="116">
        <f t="shared" si="9"/>
        <v>288.95415264480692</v>
      </c>
      <c r="F23" s="116">
        <f t="shared" si="3"/>
        <v>-84.485757445093</v>
      </c>
      <c r="G23" s="116">
        <f t="shared" si="4"/>
        <v>0</v>
      </c>
      <c r="H23" s="184">
        <f t="shared" si="10"/>
        <v>204.46839519971394</v>
      </c>
      <c r="I23" s="777">
        <f t="shared" si="5"/>
        <v>118.26398023578804</v>
      </c>
      <c r="J23" s="293">
        <v>4.0000000000000001E-3</v>
      </c>
      <c r="K23" s="297">
        <f t="shared" si="6"/>
        <v>595.1296253073383</v>
      </c>
      <c r="L23" s="295">
        <f t="shared" si="7"/>
        <v>2.1439905407577773</v>
      </c>
      <c r="M23" s="295"/>
      <c r="N23" s="298">
        <f t="shared" si="2"/>
        <v>597.27361584809603</v>
      </c>
      <c r="O23" s="36">
        <f t="shared" si="1"/>
        <v>14</v>
      </c>
      <c r="P23" s="132"/>
    </row>
    <row r="24" spans="1:18" x14ac:dyDescent="0.25">
      <c r="A24" s="36">
        <f t="shared" si="0"/>
        <v>15</v>
      </c>
      <c r="B24" s="96" t="s">
        <v>177</v>
      </c>
      <c r="C24" s="292" t="str">
        <f>C19</f>
        <v>2020</v>
      </c>
      <c r="D24" s="754">
        <f t="shared" si="8"/>
        <v>322.73237543550198</v>
      </c>
      <c r="E24" s="116">
        <f t="shared" si="9"/>
        <v>288.95415264480692</v>
      </c>
      <c r="F24" s="116">
        <f t="shared" si="3"/>
        <v>-84.485757445093</v>
      </c>
      <c r="G24" s="116">
        <f t="shared" si="4"/>
        <v>0</v>
      </c>
      <c r="H24" s="184">
        <f>SUM(E24:G24)</f>
        <v>204.46839519971394</v>
      </c>
      <c r="I24" s="777">
        <f t="shared" si="5"/>
        <v>118.26398023578804</v>
      </c>
      <c r="J24" s="293">
        <v>3.8999999999999998E-3</v>
      </c>
      <c r="K24" s="297">
        <f t="shared" si="6"/>
        <v>715.53759608388407</v>
      </c>
      <c r="L24" s="295">
        <f t="shared" si="7"/>
        <v>2.5599818632673612</v>
      </c>
      <c r="M24" s="295"/>
      <c r="N24" s="298">
        <f t="shared" si="2"/>
        <v>718.09757794715142</v>
      </c>
      <c r="O24" s="36">
        <f t="shared" si="1"/>
        <v>15</v>
      </c>
      <c r="P24" s="132"/>
    </row>
    <row r="25" spans="1:18" x14ac:dyDescent="0.25">
      <c r="A25" s="36">
        <f t="shared" si="0"/>
        <v>16</v>
      </c>
      <c r="B25" s="96" t="s">
        <v>178</v>
      </c>
      <c r="C25" s="292" t="str">
        <f>C19</f>
        <v>2020</v>
      </c>
      <c r="D25" s="754">
        <f t="shared" si="8"/>
        <v>322.73237543550198</v>
      </c>
      <c r="E25" s="116">
        <f t="shared" si="9"/>
        <v>288.95415264480692</v>
      </c>
      <c r="F25" s="116">
        <f t="shared" si="3"/>
        <v>-84.485757445093</v>
      </c>
      <c r="G25" s="116">
        <f t="shared" si="4"/>
        <v>0</v>
      </c>
      <c r="H25" s="184">
        <f t="shared" si="10"/>
        <v>204.46839519971394</v>
      </c>
      <c r="I25" s="777">
        <f t="shared" si="5"/>
        <v>118.26398023578804</v>
      </c>
      <c r="J25" s="293">
        <v>2.8999999999999998E-3</v>
      </c>
      <c r="K25" s="297">
        <f t="shared" si="6"/>
        <v>836.36155818293946</v>
      </c>
      <c r="L25" s="295">
        <f t="shared" si="7"/>
        <v>2.2539657473886314</v>
      </c>
      <c r="M25" s="295"/>
      <c r="N25" s="298">
        <f t="shared" si="2"/>
        <v>838.6155239303281</v>
      </c>
      <c r="O25" s="36">
        <f t="shared" si="1"/>
        <v>16</v>
      </c>
      <c r="P25" s="132"/>
    </row>
    <row r="26" spans="1:18" x14ac:dyDescent="0.25">
      <c r="A26" s="36">
        <f t="shared" si="0"/>
        <v>17</v>
      </c>
      <c r="B26" s="96" t="s">
        <v>179</v>
      </c>
      <c r="C26" s="292" t="str">
        <f>C19</f>
        <v>2020</v>
      </c>
      <c r="D26" s="754">
        <f t="shared" si="8"/>
        <v>322.73237543550198</v>
      </c>
      <c r="E26" s="116">
        <f t="shared" si="9"/>
        <v>288.95415264480692</v>
      </c>
      <c r="F26" s="116">
        <f t="shared" si="3"/>
        <v>-84.485757445093</v>
      </c>
      <c r="G26" s="116">
        <f t="shared" si="4"/>
        <v>0</v>
      </c>
      <c r="H26" s="184">
        <f t="shared" si="10"/>
        <v>204.46839519971394</v>
      </c>
      <c r="I26" s="777">
        <f t="shared" si="5"/>
        <v>118.26398023578804</v>
      </c>
      <c r="J26" s="293">
        <v>2.8999999999999998E-3</v>
      </c>
      <c r="K26" s="297">
        <f t="shared" si="6"/>
        <v>956.87950416611613</v>
      </c>
      <c r="L26" s="295">
        <f t="shared" si="7"/>
        <v>2.603467790739844</v>
      </c>
      <c r="M26" s="295"/>
      <c r="N26" s="298">
        <f t="shared" si="2"/>
        <v>959.48297195685598</v>
      </c>
      <c r="O26" s="36">
        <f t="shared" si="1"/>
        <v>17</v>
      </c>
      <c r="P26" s="132"/>
    </row>
    <row r="27" spans="1:18" x14ac:dyDescent="0.25">
      <c r="A27" s="36">
        <f t="shared" si="0"/>
        <v>18</v>
      </c>
      <c r="B27" s="96" t="s">
        <v>180</v>
      </c>
      <c r="C27" s="292" t="str">
        <f>C19</f>
        <v>2020</v>
      </c>
      <c r="D27" s="754">
        <f t="shared" si="8"/>
        <v>322.73237543550198</v>
      </c>
      <c r="E27" s="116">
        <f t="shared" si="9"/>
        <v>288.95415264480692</v>
      </c>
      <c r="F27" s="116">
        <f t="shared" si="3"/>
        <v>-84.485757445093</v>
      </c>
      <c r="G27" s="116">
        <f t="shared" si="4"/>
        <v>0</v>
      </c>
      <c r="H27" s="184">
        <f t="shared" si="10"/>
        <v>204.46839519971394</v>
      </c>
      <c r="I27" s="777">
        <f t="shared" si="5"/>
        <v>118.26398023578804</v>
      </c>
      <c r="J27" s="293">
        <v>2.8E-3</v>
      </c>
      <c r="K27" s="297">
        <f t="shared" si="6"/>
        <v>1077.7469521926441</v>
      </c>
      <c r="L27" s="295">
        <f t="shared" si="7"/>
        <v>2.8521218938093003</v>
      </c>
      <c r="M27" s="295"/>
      <c r="N27" s="298">
        <f t="shared" si="2"/>
        <v>1080.5990740864534</v>
      </c>
      <c r="O27" s="36">
        <f t="shared" si="1"/>
        <v>18</v>
      </c>
      <c r="P27" s="132"/>
    </row>
    <row r="28" spans="1:18" x14ac:dyDescent="0.25">
      <c r="A28" s="36">
        <f t="shared" si="0"/>
        <v>19</v>
      </c>
      <c r="B28" s="96" t="s">
        <v>181</v>
      </c>
      <c r="C28" s="292" t="str">
        <f>C19</f>
        <v>2020</v>
      </c>
      <c r="D28" s="754">
        <f t="shared" si="8"/>
        <v>322.73237543550198</v>
      </c>
      <c r="E28" s="116">
        <f t="shared" si="9"/>
        <v>288.95415264480692</v>
      </c>
      <c r="F28" s="116">
        <f t="shared" si="3"/>
        <v>-84.485757445093</v>
      </c>
      <c r="G28" s="116">
        <f t="shared" si="4"/>
        <v>0</v>
      </c>
      <c r="H28" s="184">
        <f t="shared" si="10"/>
        <v>204.46839519971394</v>
      </c>
      <c r="I28" s="777">
        <f t="shared" si="5"/>
        <v>118.26398023578804</v>
      </c>
      <c r="J28" s="293">
        <v>2.8E-3</v>
      </c>
      <c r="K28" s="297">
        <f t="shared" si="6"/>
        <v>1198.8630543222414</v>
      </c>
      <c r="L28" s="295">
        <f t="shared" si="7"/>
        <v>3.1912469797721728</v>
      </c>
      <c r="M28" s="295"/>
      <c r="N28" s="298">
        <f t="shared" si="2"/>
        <v>1202.0543013020135</v>
      </c>
      <c r="O28" s="36">
        <f t="shared" si="1"/>
        <v>19</v>
      </c>
      <c r="P28" s="132"/>
    </row>
    <row r="29" spans="1:18" x14ac:dyDescent="0.25">
      <c r="A29" s="36">
        <f t="shared" si="0"/>
        <v>20</v>
      </c>
      <c r="B29" s="96" t="s">
        <v>182</v>
      </c>
      <c r="C29" s="292" t="str">
        <f>C19</f>
        <v>2020</v>
      </c>
      <c r="D29" s="754">
        <f t="shared" si="8"/>
        <v>322.73237543550198</v>
      </c>
      <c r="E29" s="116">
        <f t="shared" si="9"/>
        <v>288.95415264480692</v>
      </c>
      <c r="F29" s="116">
        <f t="shared" si="3"/>
        <v>-84.485757445093</v>
      </c>
      <c r="G29" s="116">
        <f t="shared" si="4"/>
        <v>0</v>
      </c>
      <c r="H29" s="184">
        <f t="shared" si="10"/>
        <v>204.46839519971394</v>
      </c>
      <c r="I29" s="777">
        <f t="shared" si="5"/>
        <v>118.26398023578804</v>
      </c>
      <c r="J29" s="293">
        <v>2.7000000000000001E-3</v>
      </c>
      <c r="K29" s="297">
        <f t="shared" si="6"/>
        <v>1320.3182815378016</v>
      </c>
      <c r="L29" s="295">
        <f t="shared" si="7"/>
        <v>3.4052029868337508</v>
      </c>
      <c r="M29" s="295"/>
      <c r="N29" s="298">
        <f t="shared" si="2"/>
        <v>1323.7234845246353</v>
      </c>
      <c r="O29" s="36">
        <f t="shared" si="1"/>
        <v>20</v>
      </c>
      <c r="P29" s="132"/>
    </row>
    <row r="30" spans="1:18" x14ac:dyDescent="0.25">
      <c r="A30" s="36">
        <f t="shared" si="0"/>
        <v>21</v>
      </c>
      <c r="B30" s="299" t="s">
        <v>183</v>
      </c>
      <c r="C30" s="300" t="str">
        <f>C19</f>
        <v>2020</v>
      </c>
      <c r="D30" s="306">
        <f t="shared" si="8"/>
        <v>322.73237543550198</v>
      </c>
      <c r="E30" s="116">
        <f t="shared" si="9"/>
        <v>288.95415264480692</v>
      </c>
      <c r="F30" s="116">
        <f t="shared" si="3"/>
        <v>-84.485757445093</v>
      </c>
      <c r="G30" s="116">
        <f t="shared" si="4"/>
        <v>0</v>
      </c>
      <c r="H30" s="302">
        <f>SUM(E30:G30)</f>
        <v>204.46839519971394</v>
      </c>
      <c r="I30" s="778">
        <f t="shared" si="5"/>
        <v>118.26398023578804</v>
      </c>
      <c r="J30" s="303">
        <v>2.8E-3</v>
      </c>
      <c r="K30" s="304">
        <f t="shared" si="6"/>
        <v>1441.9874647604233</v>
      </c>
      <c r="L30" s="305">
        <f t="shared" si="7"/>
        <v>3.8719953289990818</v>
      </c>
      <c r="M30" s="713"/>
      <c r="N30" s="306">
        <f t="shared" si="2"/>
        <v>1445.8594600894223</v>
      </c>
      <c r="O30" s="36">
        <f t="shared" si="1"/>
        <v>21</v>
      </c>
      <c r="P30" s="132"/>
    </row>
    <row r="31" spans="1:18" ht="16.5" thickBot="1" x14ac:dyDescent="0.3">
      <c r="A31" s="36">
        <f t="shared" si="0"/>
        <v>22</v>
      </c>
      <c r="D31" s="307">
        <f t="shared" ref="D31:I31" si="11">SUM(D19:D30)</f>
        <v>3872.788505226024</v>
      </c>
      <c r="E31" s="308">
        <f>SUM(E19:E30)</f>
        <v>3467.4498317376833</v>
      </c>
      <c r="F31" s="308">
        <f t="shared" si="11"/>
        <v>-1013.8290893411159</v>
      </c>
      <c r="G31" s="308">
        <f t="shared" si="11"/>
        <v>0</v>
      </c>
      <c r="H31" s="308">
        <f t="shared" si="11"/>
        <v>2453.6207423965675</v>
      </c>
      <c r="I31" s="307">
        <f t="shared" si="11"/>
        <v>1419.1677628294565</v>
      </c>
      <c r="J31" s="657"/>
      <c r="K31" s="658" t="s">
        <v>31</v>
      </c>
      <c r="L31" s="307">
        <f>SUM(L19:L30)</f>
        <v>26.691697259966112</v>
      </c>
      <c r="M31" s="658" t="s">
        <v>31</v>
      </c>
      <c r="N31" s="658" t="s">
        <v>31</v>
      </c>
      <c r="O31" s="36">
        <f t="shared" si="1"/>
        <v>22</v>
      </c>
    </row>
    <row r="32" spans="1:18" ht="16.5" thickTop="1" x14ac:dyDescent="0.25">
      <c r="D32" s="658" t="s">
        <v>31</v>
      </c>
      <c r="E32" s="34"/>
      <c r="F32" s="34"/>
      <c r="G32" s="34"/>
      <c r="H32" s="34"/>
      <c r="I32" s="658" t="s">
        <v>31</v>
      </c>
      <c r="J32" s="657"/>
      <c r="K32" s="658"/>
      <c r="M32" s="658"/>
    </row>
    <row r="33" spans="1:14" x14ac:dyDescent="0.25">
      <c r="D33" s="658"/>
      <c r="E33" s="34"/>
      <c r="F33" s="34"/>
      <c r="G33" s="34"/>
      <c r="H33" s="34"/>
      <c r="I33" s="658"/>
      <c r="J33" s="657"/>
      <c r="K33" s="658"/>
      <c r="M33" s="658"/>
    </row>
    <row r="34" spans="1:14" x14ac:dyDescent="0.25">
      <c r="A34" s="25" t="s">
        <v>31</v>
      </c>
      <c r="B34" s="23" t="s">
        <v>632</v>
      </c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</row>
    <row r="35" spans="1:14" ht="18.75" x14ac:dyDescent="0.25">
      <c r="A35" s="312">
        <v>1</v>
      </c>
      <c r="B35" s="37" t="s">
        <v>184</v>
      </c>
      <c r="F35" s="311"/>
      <c r="G35" s="311"/>
    </row>
    <row r="36" spans="1:14" ht="18.75" x14ac:dyDescent="0.25">
      <c r="A36" s="312">
        <v>2</v>
      </c>
      <c r="B36" s="37" t="s">
        <v>185</v>
      </c>
    </row>
    <row r="37" spans="1:14" ht="18.75" x14ac:dyDescent="0.25">
      <c r="A37" s="312">
        <v>3</v>
      </c>
      <c r="B37" s="37" t="s">
        <v>186</v>
      </c>
    </row>
    <row r="38" spans="1:14" ht="18.75" x14ac:dyDescent="0.25">
      <c r="A38" s="312">
        <v>4</v>
      </c>
      <c r="B38" s="37" t="s">
        <v>187</v>
      </c>
    </row>
    <row r="39" spans="1:14" ht="18.75" x14ac:dyDescent="0.25">
      <c r="A39" s="312"/>
      <c r="B39" s="37" t="s">
        <v>188</v>
      </c>
    </row>
    <row r="40" spans="1:14" ht="18.75" x14ac:dyDescent="0.25">
      <c r="A40" s="312">
        <v>5</v>
      </c>
      <c r="B40" s="37" t="s">
        <v>189</v>
      </c>
      <c r="C40" s="607"/>
    </row>
    <row r="41" spans="1:14" ht="18.75" x14ac:dyDescent="0.25">
      <c r="A41" s="312">
        <v>6</v>
      </c>
      <c r="B41" s="37" t="s">
        <v>190</v>
      </c>
    </row>
    <row r="42" spans="1:14" ht="18.75" x14ac:dyDescent="0.25">
      <c r="A42" s="312">
        <v>7</v>
      </c>
      <c r="B42" s="37" t="s">
        <v>191</v>
      </c>
    </row>
  </sheetData>
  <mergeCells count="5">
    <mergeCell ref="B2:O2"/>
    <mergeCell ref="B3:O3"/>
    <mergeCell ref="B4:O4"/>
    <mergeCell ref="B5:O5"/>
    <mergeCell ref="B6:N6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Roman,Bold"&amp;7REVISED</oddHeader>
    <oddFooter>&amp;L&amp;F&amp;CPage 7&amp;R&amp;A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6485-D603-4FFE-9F88-A6FE7CCDF96A}">
  <sheetPr>
    <pageSetUpPr fitToPage="1"/>
  </sheetPr>
  <dimension ref="A1:S44"/>
  <sheetViews>
    <sheetView zoomScale="80" zoomScaleNormal="80" workbookViewId="0"/>
  </sheetViews>
  <sheetFormatPr defaultColWidth="9.140625" defaultRowHeight="15.75" x14ac:dyDescent="0.25"/>
  <cols>
    <col min="1" max="1" width="5.140625" style="36" customWidth="1"/>
    <col min="2" max="2" width="12.5703125" style="37" customWidth="1"/>
    <col min="3" max="3" width="20" style="37" customWidth="1"/>
    <col min="4" max="7" width="21.5703125" style="37" customWidth="1"/>
    <col min="8" max="8" width="22.85546875" style="37" bestFit="1" customWidth="1"/>
    <col min="9" max="11" width="21.5703125" style="37" customWidth="1"/>
    <col min="12" max="12" width="1.85546875" style="37" customWidth="1"/>
    <col min="13" max="14" width="21.5703125" style="37" customWidth="1"/>
    <col min="15" max="15" width="1.85546875" style="37" customWidth="1"/>
    <col min="16" max="16" width="5.140625" style="36" customWidth="1"/>
    <col min="17" max="17" width="13.5703125" style="37" customWidth="1"/>
    <col min="18" max="18" width="12.5703125" style="37" customWidth="1"/>
    <col min="19" max="16384" width="9.140625" style="37"/>
  </cols>
  <sheetData>
    <row r="1" spans="1:16" x14ac:dyDescent="0.25">
      <c r="A1" s="691" t="s">
        <v>641</v>
      </c>
    </row>
    <row r="2" spans="1:16" x14ac:dyDescent="0.25">
      <c r="I2" s="607"/>
      <c r="N2" s="38"/>
      <c r="O2" s="38"/>
    </row>
    <row r="3" spans="1:16" x14ac:dyDescent="0.25">
      <c r="B3" s="808" t="s">
        <v>19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</row>
    <row r="4" spans="1:16" x14ac:dyDescent="0.25">
      <c r="B4" s="801" t="s">
        <v>56</v>
      </c>
      <c r="C4" s="801"/>
      <c r="D4" s="801"/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</row>
    <row r="5" spans="1:16" x14ac:dyDescent="0.25">
      <c r="B5" s="801" t="s">
        <v>138</v>
      </c>
      <c r="C5" s="801"/>
      <c r="D5" s="801"/>
      <c r="E5" s="801"/>
      <c r="F5" s="801"/>
      <c r="G5" s="801"/>
      <c r="H5" s="801"/>
      <c r="I5" s="801"/>
      <c r="J5" s="801"/>
      <c r="K5" s="801"/>
      <c r="L5" s="801"/>
      <c r="M5" s="801"/>
      <c r="N5" s="801"/>
      <c r="O5" s="801"/>
      <c r="P5" s="801"/>
    </row>
    <row r="6" spans="1:16" x14ac:dyDescent="0.25">
      <c r="B6" s="809" t="s">
        <v>139</v>
      </c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  <c r="N6" s="809"/>
      <c r="O6" s="809"/>
      <c r="P6" s="809"/>
    </row>
    <row r="7" spans="1:16" x14ac:dyDescent="0.25">
      <c r="B7" s="810" t="s">
        <v>3</v>
      </c>
      <c r="C7" s="810"/>
      <c r="D7" s="810"/>
      <c r="E7" s="810"/>
      <c r="F7" s="810"/>
      <c r="G7" s="810"/>
      <c r="H7" s="810"/>
      <c r="I7" s="810"/>
      <c r="J7" s="810"/>
      <c r="K7" s="810"/>
      <c r="L7" s="810"/>
      <c r="M7" s="810"/>
      <c r="N7" s="810"/>
      <c r="O7" s="632"/>
      <c r="P7" s="369"/>
    </row>
    <row r="8" spans="1:16" x14ac:dyDescent="0.25">
      <c r="A8" s="369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</row>
    <row r="9" spans="1:16" x14ac:dyDescent="0.25">
      <c r="A9" s="36" t="s">
        <v>4</v>
      </c>
      <c r="B9" s="53"/>
      <c r="E9" s="43"/>
      <c r="F9" s="133"/>
      <c r="G9" s="133"/>
      <c r="P9" s="36" t="s">
        <v>4</v>
      </c>
    </row>
    <row r="10" spans="1:16" x14ac:dyDescent="0.25">
      <c r="A10" s="36" t="s">
        <v>5</v>
      </c>
      <c r="B10" s="53"/>
      <c r="E10" s="43"/>
      <c r="F10" s="133"/>
      <c r="G10" s="133"/>
      <c r="P10" s="36" t="s">
        <v>5</v>
      </c>
    </row>
    <row r="11" spans="1:16" x14ac:dyDescent="0.25">
      <c r="A11" s="36">
        <v>1</v>
      </c>
      <c r="D11" s="25"/>
      <c r="E11" s="43"/>
      <c r="I11" s="25"/>
      <c r="J11" s="289"/>
      <c r="K11" s="25"/>
      <c r="L11" s="25"/>
      <c r="M11" s="25"/>
      <c r="N11" s="25"/>
      <c r="O11" s="25"/>
      <c r="P11" s="36">
        <v>1</v>
      </c>
    </row>
    <row r="12" spans="1:16" x14ac:dyDescent="0.25">
      <c r="A12" s="36">
        <f t="shared" ref="A12:A32" si="0">A11+1</f>
        <v>2</v>
      </c>
      <c r="C12" s="290" t="s">
        <v>140</v>
      </c>
      <c r="D12" s="290" t="s">
        <v>141</v>
      </c>
      <c r="E12" s="290" t="s">
        <v>142</v>
      </c>
      <c r="F12" s="290" t="s">
        <v>143</v>
      </c>
      <c r="G12" s="290" t="s">
        <v>144</v>
      </c>
      <c r="H12" s="290" t="s">
        <v>145</v>
      </c>
      <c r="I12" s="290" t="s">
        <v>146</v>
      </c>
      <c r="J12" s="290" t="s">
        <v>147</v>
      </c>
      <c r="K12" s="290" t="s">
        <v>148</v>
      </c>
      <c r="L12" s="290"/>
      <c r="M12" s="290" t="s">
        <v>149</v>
      </c>
      <c r="N12" s="290" t="s">
        <v>150</v>
      </c>
      <c r="O12" s="290"/>
      <c r="P12" s="36">
        <f t="shared" ref="P12:P32" si="1">P11+1</f>
        <v>2</v>
      </c>
    </row>
    <row r="13" spans="1:16" x14ac:dyDescent="0.25">
      <c r="A13" s="36">
        <f t="shared" si="0"/>
        <v>3</v>
      </c>
      <c r="B13" s="43" t="s">
        <v>151</v>
      </c>
      <c r="C13" s="36"/>
      <c r="D13" s="36"/>
      <c r="E13" s="36"/>
      <c r="F13" s="36" t="str">
        <f>"= "&amp;F12&amp;"; Line "&amp;A32&amp;" / 12"</f>
        <v>= Col. 4; Line 22 / 12</v>
      </c>
      <c r="G13" s="36"/>
      <c r="H13" s="68" t="str">
        <f>"= Sum "&amp;E12&amp;" thru "&amp;G12</f>
        <v>= Sum Col. 3 thru Col. 5</v>
      </c>
      <c r="I13" s="68" t="str">
        <f>"= "&amp;D12&amp;" - "&amp;H12</f>
        <v>= Col. 2 - Col. 6</v>
      </c>
      <c r="J13" s="36"/>
      <c r="K13" s="36" t="str">
        <f>"See Footnote "&amp;A43</f>
        <v>See Footnote 6</v>
      </c>
      <c r="L13" s="36"/>
      <c r="M13" s="36" t="str">
        <f>"See Footnote "&amp;A44</f>
        <v>See Footnote 7</v>
      </c>
      <c r="N13" s="68" t="str">
        <f>"= "&amp;K12&amp;" + "&amp;M12</f>
        <v>= Col. 9 + Col. 10</v>
      </c>
      <c r="O13" s="68"/>
      <c r="P13" s="36">
        <f t="shared" si="1"/>
        <v>3</v>
      </c>
    </row>
    <row r="14" spans="1:16" x14ac:dyDescent="0.25">
      <c r="A14" s="36">
        <f t="shared" si="0"/>
        <v>4</v>
      </c>
      <c r="B14" s="43"/>
      <c r="C14" s="36"/>
      <c r="D14" s="36"/>
      <c r="E14" s="36"/>
      <c r="F14" s="36"/>
      <c r="G14" s="36"/>
      <c r="H14" s="68"/>
      <c r="I14" s="68"/>
      <c r="J14" s="36"/>
      <c r="K14" s="36"/>
      <c r="L14" s="36"/>
      <c r="M14" s="36"/>
      <c r="N14" s="68"/>
      <c r="O14" s="68"/>
      <c r="P14" s="36">
        <f t="shared" si="1"/>
        <v>4</v>
      </c>
    </row>
    <row r="15" spans="1:16" x14ac:dyDescent="0.25">
      <c r="A15" s="36">
        <f t="shared" si="0"/>
        <v>5</v>
      </c>
      <c r="C15" s="290"/>
      <c r="H15" s="369"/>
      <c r="K15" s="369" t="s">
        <v>152</v>
      </c>
      <c r="L15" s="369"/>
      <c r="N15" s="369" t="s">
        <v>152</v>
      </c>
      <c r="O15" s="369"/>
      <c r="P15" s="36">
        <f t="shared" si="1"/>
        <v>5</v>
      </c>
    </row>
    <row r="16" spans="1:16" x14ac:dyDescent="0.25">
      <c r="A16" s="36">
        <f t="shared" si="0"/>
        <v>6</v>
      </c>
      <c r="C16" s="290"/>
      <c r="F16" s="369"/>
      <c r="G16" s="369"/>
      <c r="H16" s="369"/>
      <c r="I16" s="369" t="s">
        <v>153</v>
      </c>
      <c r="J16" s="369"/>
      <c r="K16" s="369" t="s">
        <v>154</v>
      </c>
      <c r="L16" s="369"/>
      <c r="N16" s="369" t="s">
        <v>154</v>
      </c>
      <c r="O16" s="369"/>
      <c r="P16" s="36">
        <f t="shared" si="1"/>
        <v>6</v>
      </c>
    </row>
    <row r="17" spans="1:19" x14ac:dyDescent="0.25">
      <c r="A17" s="36">
        <f t="shared" si="0"/>
        <v>7</v>
      </c>
      <c r="C17" s="369"/>
      <c r="D17" s="369" t="s">
        <v>153</v>
      </c>
      <c r="E17" s="369" t="s">
        <v>153</v>
      </c>
      <c r="F17" s="369" t="s">
        <v>155</v>
      </c>
      <c r="G17" s="369"/>
      <c r="H17" s="369" t="s">
        <v>156</v>
      </c>
      <c r="I17" s="369" t="s">
        <v>154</v>
      </c>
      <c r="J17" s="369" t="s">
        <v>153</v>
      </c>
      <c r="K17" s="369" t="s">
        <v>157</v>
      </c>
      <c r="L17" s="369"/>
      <c r="N17" s="369" t="s">
        <v>157</v>
      </c>
      <c r="O17" s="369"/>
      <c r="P17" s="36">
        <f t="shared" si="1"/>
        <v>7</v>
      </c>
    </row>
    <row r="18" spans="1:19" x14ac:dyDescent="0.25">
      <c r="A18" s="36">
        <f t="shared" si="0"/>
        <v>8</v>
      </c>
      <c r="C18" s="369"/>
      <c r="D18" s="369" t="s">
        <v>158</v>
      </c>
      <c r="E18" s="369" t="s">
        <v>158</v>
      </c>
      <c r="F18" s="369" t="s">
        <v>158</v>
      </c>
      <c r="G18" s="369" t="s">
        <v>159</v>
      </c>
      <c r="H18" s="369" t="s">
        <v>158</v>
      </c>
      <c r="I18" s="369" t="s">
        <v>157</v>
      </c>
      <c r="J18" s="369" t="s">
        <v>160</v>
      </c>
      <c r="K18" s="369" t="s">
        <v>161</v>
      </c>
      <c r="L18" s="369"/>
      <c r="M18" s="369"/>
      <c r="N18" s="369" t="s">
        <v>161</v>
      </c>
      <c r="O18" s="369"/>
      <c r="P18" s="36">
        <f t="shared" si="1"/>
        <v>8</v>
      </c>
    </row>
    <row r="19" spans="1:19" ht="18.75" x14ac:dyDescent="0.25">
      <c r="A19" s="36">
        <f t="shared" si="0"/>
        <v>9</v>
      </c>
      <c r="B19" s="291" t="s">
        <v>162</v>
      </c>
      <c r="C19" s="291" t="s">
        <v>163</v>
      </c>
      <c r="D19" s="133" t="s">
        <v>164</v>
      </c>
      <c r="E19" s="133" t="s">
        <v>165</v>
      </c>
      <c r="F19" s="133" t="s">
        <v>166</v>
      </c>
      <c r="G19" s="133" t="s">
        <v>167</v>
      </c>
      <c r="H19" s="133" t="s">
        <v>168</v>
      </c>
      <c r="I19" s="133" t="s">
        <v>161</v>
      </c>
      <c r="J19" s="133" t="s">
        <v>169</v>
      </c>
      <c r="K19" s="133" t="s">
        <v>595</v>
      </c>
      <c r="L19" s="133"/>
      <c r="M19" s="133" t="s">
        <v>160</v>
      </c>
      <c r="N19" s="133" t="s">
        <v>171</v>
      </c>
      <c r="O19" s="133"/>
      <c r="P19" s="36">
        <f t="shared" si="1"/>
        <v>9</v>
      </c>
    </row>
    <row r="20" spans="1:19" x14ac:dyDescent="0.25">
      <c r="A20" s="36">
        <f t="shared" si="0"/>
        <v>10</v>
      </c>
      <c r="B20" s="96" t="s">
        <v>172</v>
      </c>
      <c r="C20" s="292" t="str">
        <f>RIGHT(B6,4)</f>
        <v>2020</v>
      </c>
      <c r="D20" s="32">
        <v>320.35455459906922</v>
      </c>
      <c r="E20" s="386">
        <v>288.95415264480692</v>
      </c>
      <c r="F20" s="386">
        <v>-84.485757445093</v>
      </c>
      <c r="G20" s="386">
        <v>0</v>
      </c>
      <c r="H20" s="256">
        <f>SUM(E20:G20)</f>
        <v>204.46839519971394</v>
      </c>
      <c r="I20" s="60">
        <f>D20-H20</f>
        <v>115.88615939935528</v>
      </c>
      <c r="J20" s="293">
        <v>4.1999999999999997E-3</v>
      </c>
      <c r="K20" s="641">
        <f>I20</f>
        <v>115.88615939935528</v>
      </c>
      <c r="L20" s="641"/>
      <c r="M20" s="294">
        <f>(I20/2)*J20</f>
        <v>0.24336093473864606</v>
      </c>
      <c r="N20" s="294">
        <f t="shared" ref="N20:N30" si="2">K20+M20</f>
        <v>116.12952033409393</v>
      </c>
      <c r="O20" s="387"/>
      <c r="P20" s="36">
        <f t="shared" si="1"/>
        <v>10</v>
      </c>
      <c r="Q20" s="35"/>
    </row>
    <row r="21" spans="1:19" x14ac:dyDescent="0.25">
      <c r="A21" s="36">
        <f t="shared" si="0"/>
        <v>11</v>
      </c>
      <c r="B21" s="96" t="s">
        <v>173</v>
      </c>
      <c r="C21" s="292" t="str">
        <f>C20</f>
        <v>2020</v>
      </c>
      <c r="D21" s="624">
        <f>$D$20</f>
        <v>320.35455459906922</v>
      </c>
      <c r="E21" s="116">
        <f>$E$20</f>
        <v>288.95415264480692</v>
      </c>
      <c r="F21" s="116">
        <f t="shared" ref="F21:F31" si="3">$F$20</f>
        <v>-84.485757445093</v>
      </c>
      <c r="G21" s="116">
        <f t="shared" ref="G21:G31" si="4">$G$20</f>
        <v>0</v>
      </c>
      <c r="H21" s="184">
        <f>SUM(E21:G21)</f>
        <v>204.46839519971394</v>
      </c>
      <c r="I21" s="116">
        <f t="shared" ref="I21:I31" si="5">D21-H21</f>
        <v>115.88615939935528</v>
      </c>
      <c r="J21" s="293">
        <v>3.8999999999999998E-3</v>
      </c>
      <c r="K21" s="642">
        <f>N20+I21</f>
        <v>232.01567973344919</v>
      </c>
      <c r="L21" s="642"/>
      <c r="M21" s="295">
        <f t="shared" ref="M21:M31" si="6">(N20+K21)/2*J21</f>
        <v>0.67888314013170903</v>
      </c>
      <c r="N21" s="295">
        <f t="shared" si="2"/>
        <v>232.69456287358091</v>
      </c>
      <c r="O21" s="298"/>
      <c r="P21" s="36">
        <f t="shared" si="1"/>
        <v>11</v>
      </c>
      <c r="Q21" s="132"/>
    </row>
    <row r="22" spans="1:19" x14ac:dyDescent="0.25">
      <c r="A22" s="36">
        <f t="shared" si="0"/>
        <v>12</v>
      </c>
      <c r="B22" s="96" t="s">
        <v>174</v>
      </c>
      <c r="C22" s="292" t="str">
        <f>C20</f>
        <v>2020</v>
      </c>
      <c r="D22" s="624">
        <f t="shared" ref="D22:D31" si="7">$D$20</f>
        <v>320.35455459906922</v>
      </c>
      <c r="E22" s="116">
        <f t="shared" ref="E22:E31" si="8">$E$20</f>
        <v>288.95415264480692</v>
      </c>
      <c r="F22" s="116">
        <f t="shared" si="3"/>
        <v>-84.485757445093</v>
      </c>
      <c r="G22" s="116">
        <f t="shared" si="4"/>
        <v>0</v>
      </c>
      <c r="H22" s="184">
        <f t="shared" ref="H22:H30" si="9">SUM(E22:G22)</f>
        <v>204.46839519971394</v>
      </c>
      <c r="I22" s="116">
        <f t="shared" si="5"/>
        <v>115.88615939935528</v>
      </c>
      <c r="J22" s="293">
        <v>4.1999999999999997E-3</v>
      </c>
      <c r="K22" s="642">
        <f t="shared" ref="K22:K30" si="10">N21+I22</f>
        <v>348.58072227293621</v>
      </c>
      <c r="L22" s="642"/>
      <c r="M22" s="295">
        <f>(N21+K22)/2*J22</f>
        <v>1.220678098807686</v>
      </c>
      <c r="N22" s="295">
        <f t="shared" si="2"/>
        <v>349.80140037174391</v>
      </c>
      <c r="O22" s="298"/>
      <c r="P22" s="36">
        <f t="shared" si="1"/>
        <v>12</v>
      </c>
      <c r="Q22" s="132"/>
    </row>
    <row r="23" spans="1:19" x14ac:dyDescent="0.25">
      <c r="A23" s="36">
        <f t="shared" si="0"/>
        <v>13</v>
      </c>
      <c r="B23" s="96" t="s">
        <v>175</v>
      </c>
      <c r="C23" s="292" t="str">
        <f>C20</f>
        <v>2020</v>
      </c>
      <c r="D23" s="624">
        <f t="shared" si="7"/>
        <v>320.35455459906922</v>
      </c>
      <c r="E23" s="116">
        <f t="shared" si="8"/>
        <v>288.95415264480692</v>
      </c>
      <c r="F23" s="116">
        <f t="shared" si="3"/>
        <v>-84.485757445093</v>
      </c>
      <c r="G23" s="116">
        <f t="shared" si="4"/>
        <v>0</v>
      </c>
      <c r="H23" s="184">
        <f t="shared" si="9"/>
        <v>204.46839519971394</v>
      </c>
      <c r="I23" s="116">
        <f>D23-H23</f>
        <v>115.88615939935528</v>
      </c>
      <c r="J23" s="293">
        <v>3.8999999999999998E-3</v>
      </c>
      <c r="K23" s="642">
        <f t="shared" si="10"/>
        <v>465.68755977109919</v>
      </c>
      <c r="L23" s="642"/>
      <c r="M23" s="295">
        <f>(N22+K23)/2*J23</f>
        <v>1.5902034722785439</v>
      </c>
      <c r="N23" s="298">
        <f t="shared" si="2"/>
        <v>467.27776324337771</v>
      </c>
      <c r="O23" s="25" t="s">
        <v>31</v>
      </c>
      <c r="P23" s="36">
        <f t="shared" si="1"/>
        <v>13</v>
      </c>
      <c r="Q23" s="132"/>
      <c r="S23" s="296"/>
    </row>
    <row r="24" spans="1:19" x14ac:dyDescent="0.25">
      <c r="A24" s="36">
        <f t="shared" si="0"/>
        <v>14</v>
      </c>
      <c r="B24" s="96" t="s">
        <v>176</v>
      </c>
      <c r="C24" s="292" t="str">
        <f>C20</f>
        <v>2020</v>
      </c>
      <c r="D24" s="624">
        <f t="shared" si="7"/>
        <v>320.35455459906922</v>
      </c>
      <c r="E24" s="116">
        <f t="shared" si="8"/>
        <v>288.95415264480692</v>
      </c>
      <c r="F24" s="116">
        <f t="shared" si="3"/>
        <v>-84.485757445093</v>
      </c>
      <c r="G24" s="116">
        <f t="shared" si="4"/>
        <v>0</v>
      </c>
      <c r="H24" s="184">
        <f t="shared" si="9"/>
        <v>204.46839519971394</v>
      </c>
      <c r="I24" s="116">
        <f t="shared" si="5"/>
        <v>115.88615939935528</v>
      </c>
      <c r="J24" s="293">
        <v>4.0000000000000001E-3</v>
      </c>
      <c r="K24" s="642">
        <f t="shared" si="10"/>
        <v>583.16392264273304</v>
      </c>
      <c r="L24" s="642"/>
      <c r="M24" s="295">
        <f t="shared" si="6"/>
        <v>2.1008833717722215</v>
      </c>
      <c r="N24" s="298">
        <f t="shared" si="2"/>
        <v>585.26480601450521</v>
      </c>
      <c r="O24" s="25" t="s">
        <v>31</v>
      </c>
      <c r="P24" s="36">
        <f t="shared" si="1"/>
        <v>14</v>
      </c>
      <c r="Q24" s="132"/>
    </row>
    <row r="25" spans="1:19" x14ac:dyDescent="0.25">
      <c r="A25" s="36">
        <f t="shared" si="0"/>
        <v>15</v>
      </c>
      <c r="B25" s="96" t="s">
        <v>177</v>
      </c>
      <c r="C25" s="292" t="str">
        <f>C20</f>
        <v>2020</v>
      </c>
      <c r="D25" s="624">
        <f t="shared" si="7"/>
        <v>320.35455459906922</v>
      </c>
      <c r="E25" s="116">
        <f t="shared" si="8"/>
        <v>288.95415264480692</v>
      </c>
      <c r="F25" s="116">
        <f t="shared" si="3"/>
        <v>-84.485757445093</v>
      </c>
      <c r="G25" s="116">
        <f t="shared" si="4"/>
        <v>0</v>
      </c>
      <c r="H25" s="184">
        <f>SUM(E25:G25)</f>
        <v>204.46839519971394</v>
      </c>
      <c r="I25" s="116">
        <f t="shared" si="5"/>
        <v>115.88615939935528</v>
      </c>
      <c r="J25" s="293">
        <v>3.8999999999999998E-3</v>
      </c>
      <c r="K25" s="297">
        <f t="shared" si="10"/>
        <v>701.15096541386049</v>
      </c>
      <c r="L25" s="25" t="s">
        <v>31</v>
      </c>
      <c r="M25" s="295">
        <f>(N24+K25)/2*J25</f>
        <v>2.5085107542853127</v>
      </c>
      <c r="N25" s="295">
        <f t="shared" si="2"/>
        <v>703.65947616814583</v>
      </c>
      <c r="O25" s="298"/>
      <c r="P25" s="36">
        <f t="shared" si="1"/>
        <v>15</v>
      </c>
      <c r="Q25" s="132"/>
    </row>
    <row r="26" spans="1:19" x14ac:dyDescent="0.25">
      <c r="A26" s="36">
        <f t="shared" si="0"/>
        <v>16</v>
      </c>
      <c r="B26" s="96" t="s">
        <v>178</v>
      </c>
      <c r="C26" s="292" t="str">
        <f>C20</f>
        <v>2020</v>
      </c>
      <c r="D26" s="624">
        <f t="shared" si="7"/>
        <v>320.35455459906922</v>
      </c>
      <c r="E26" s="116">
        <f t="shared" si="8"/>
        <v>288.95415264480692</v>
      </c>
      <c r="F26" s="116">
        <f t="shared" si="3"/>
        <v>-84.485757445093</v>
      </c>
      <c r="G26" s="116">
        <f t="shared" si="4"/>
        <v>0</v>
      </c>
      <c r="H26" s="184">
        <f t="shared" si="9"/>
        <v>204.46839519971394</v>
      </c>
      <c r="I26" s="116">
        <f t="shared" si="5"/>
        <v>115.88615939935528</v>
      </c>
      <c r="J26" s="293">
        <v>2.8999999999999998E-3</v>
      </c>
      <c r="K26" s="642">
        <f t="shared" si="10"/>
        <v>819.54563556750111</v>
      </c>
      <c r="L26" s="642"/>
      <c r="M26" s="295">
        <f t="shared" si="6"/>
        <v>2.2086474120166879</v>
      </c>
      <c r="N26" s="295">
        <f t="shared" si="2"/>
        <v>821.75428297951782</v>
      </c>
      <c r="O26" s="298"/>
      <c r="P26" s="36">
        <f t="shared" si="1"/>
        <v>16</v>
      </c>
      <c r="Q26" s="132"/>
    </row>
    <row r="27" spans="1:19" x14ac:dyDescent="0.25">
      <c r="A27" s="36">
        <f t="shared" si="0"/>
        <v>17</v>
      </c>
      <c r="B27" s="96" t="s">
        <v>179</v>
      </c>
      <c r="C27" s="292" t="str">
        <f>C20</f>
        <v>2020</v>
      </c>
      <c r="D27" s="624">
        <f t="shared" si="7"/>
        <v>320.35455459906922</v>
      </c>
      <c r="E27" s="116">
        <f t="shared" si="8"/>
        <v>288.95415264480692</v>
      </c>
      <c r="F27" s="116">
        <f t="shared" si="3"/>
        <v>-84.485757445093</v>
      </c>
      <c r="G27" s="116">
        <f t="shared" si="4"/>
        <v>0</v>
      </c>
      <c r="H27" s="184">
        <f t="shared" si="9"/>
        <v>204.46839519971394</v>
      </c>
      <c r="I27" s="116">
        <f t="shared" si="5"/>
        <v>115.88615939935528</v>
      </c>
      <c r="J27" s="293">
        <v>2.8999999999999998E-3</v>
      </c>
      <c r="K27" s="642">
        <f t="shared" si="10"/>
        <v>937.6404423788731</v>
      </c>
      <c r="L27" s="642"/>
      <c r="M27" s="295">
        <f t="shared" si="6"/>
        <v>2.5511223517696666</v>
      </c>
      <c r="N27" s="298">
        <f t="shared" si="2"/>
        <v>940.19156473064277</v>
      </c>
      <c r="O27" s="25" t="s">
        <v>31</v>
      </c>
      <c r="P27" s="36">
        <f t="shared" si="1"/>
        <v>17</v>
      </c>
      <c r="Q27" s="132"/>
    </row>
    <row r="28" spans="1:19" x14ac:dyDescent="0.25">
      <c r="A28" s="36">
        <f t="shared" si="0"/>
        <v>18</v>
      </c>
      <c r="B28" s="96" t="s">
        <v>180</v>
      </c>
      <c r="C28" s="292" t="str">
        <f>C20</f>
        <v>2020</v>
      </c>
      <c r="D28" s="624">
        <f t="shared" si="7"/>
        <v>320.35455459906922</v>
      </c>
      <c r="E28" s="116">
        <f t="shared" si="8"/>
        <v>288.95415264480692</v>
      </c>
      <c r="F28" s="116">
        <f t="shared" si="3"/>
        <v>-84.485757445093</v>
      </c>
      <c r="G28" s="116">
        <f t="shared" si="4"/>
        <v>0</v>
      </c>
      <c r="H28" s="184">
        <f t="shared" si="9"/>
        <v>204.46839519971394</v>
      </c>
      <c r="I28" s="116">
        <f t="shared" si="5"/>
        <v>115.88615939935528</v>
      </c>
      <c r="J28" s="293">
        <v>2.8E-3</v>
      </c>
      <c r="K28" s="297">
        <f t="shared" si="10"/>
        <v>1056.0777241299979</v>
      </c>
      <c r="L28" s="25" t="s">
        <v>31</v>
      </c>
      <c r="M28" s="295">
        <f t="shared" si="6"/>
        <v>2.7947770044048967</v>
      </c>
      <c r="N28" s="295">
        <f t="shared" si="2"/>
        <v>1058.8725011344029</v>
      </c>
      <c r="O28" s="298"/>
      <c r="P28" s="36">
        <f t="shared" si="1"/>
        <v>18</v>
      </c>
      <c r="Q28" s="132"/>
    </row>
    <row r="29" spans="1:19" x14ac:dyDescent="0.25">
      <c r="A29" s="36">
        <f t="shared" si="0"/>
        <v>19</v>
      </c>
      <c r="B29" s="96" t="s">
        <v>181</v>
      </c>
      <c r="C29" s="292" t="str">
        <f>C20</f>
        <v>2020</v>
      </c>
      <c r="D29" s="624">
        <f t="shared" si="7"/>
        <v>320.35455459906922</v>
      </c>
      <c r="E29" s="116">
        <f t="shared" si="8"/>
        <v>288.95415264480692</v>
      </c>
      <c r="F29" s="116">
        <f t="shared" si="3"/>
        <v>-84.485757445093</v>
      </c>
      <c r="G29" s="116">
        <f t="shared" si="4"/>
        <v>0</v>
      </c>
      <c r="H29" s="184">
        <f t="shared" si="9"/>
        <v>204.46839519971394</v>
      </c>
      <c r="I29" s="116">
        <f t="shared" si="5"/>
        <v>115.88615939935528</v>
      </c>
      <c r="J29" s="293">
        <v>2.8E-3</v>
      </c>
      <c r="K29" s="642">
        <f t="shared" si="10"/>
        <v>1174.7586605337583</v>
      </c>
      <c r="L29" s="642"/>
      <c r="M29" s="295">
        <f t="shared" si="6"/>
        <v>3.127083626335426</v>
      </c>
      <c r="N29" s="298">
        <f t="shared" si="2"/>
        <v>1177.8857441600937</v>
      </c>
      <c r="O29" s="25" t="s">
        <v>31</v>
      </c>
      <c r="P29" s="36">
        <f t="shared" si="1"/>
        <v>19</v>
      </c>
      <c r="Q29" s="132"/>
    </row>
    <row r="30" spans="1:19" x14ac:dyDescent="0.25">
      <c r="A30" s="36">
        <f t="shared" si="0"/>
        <v>20</v>
      </c>
      <c r="B30" s="96" t="s">
        <v>182</v>
      </c>
      <c r="C30" s="292" t="str">
        <f>C20</f>
        <v>2020</v>
      </c>
      <c r="D30" s="624">
        <f t="shared" si="7"/>
        <v>320.35455459906922</v>
      </c>
      <c r="E30" s="116">
        <f t="shared" si="8"/>
        <v>288.95415264480692</v>
      </c>
      <c r="F30" s="116">
        <f t="shared" si="3"/>
        <v>-84.485757445093</v>
      </c>
      <c r="G30" s="116">
        <f t="shared" si="4"/>
        <v>0</v>
      </c>
      <c r="H30" s="184">
        <f t="shared" si="9"/>
        <v>204.46839519971394</v>
      </c>
      <c r="I30" s="116">
        <f t="shared" si="5"/>
        <v>115.88615939935528</v>
      </c>
      <c r="J30" s="293">
        <v>2.7000000000000001E-3</v>
      </c>
      <c r="K30" s="642">
        <f t="shared" si="10"/>
        <v>1293.7719035594491</v>
      </c>
      <c r="L30" s="642"/>
      <c r="M30" s="295">
        <f t="shared" si="6"/>
        <v>3.3367378244213834</v>
      </c>
      <c r="N30" s="298">
        <f t="shared" si="2"/>
        <v>1297.1086413838705</v>
      </c>
      <c r="O30" s="25" t="s">
        <v>31</v>
      </c>
      <c r="P30" s="36">
        <f t="shared" si="1"/>
        <v>20</v>
      </c>
      <c r="Q30" s="132"/>
    </row>
    <row r="31" spans="1:19" x14ac:dyDescent="0.25">
      <c r="A31" s="36">
        <f t="shared" si="0"/>
        <v>21</v>
      </c>
      <c r="B31" s="709" t="s">
        <v>183</v>
      </c>
      <c r="C31" s="710" t="str">
        <f>C20</f>
        <v>2020</v>
      </c>
      <c r="D31" s="699">
        <f t="shared" si="7"/>
        <v>320.35455459906922</v>
      </c>
      <c r="E31" s="116">
        <f t="shared" si="8"/>
        <v>288.95415264480692</v>
      </c>
      <c r="F31" s="116">
        <f t="shared" si="3"/>
        <v>-84.485757445093</v>
      </c>
      <c r="G31" s="116">
        <f t="shared" si="4"/>
        <v>0</v>
      </c>
      <c r="H31" s="699">
        <f>SUM(E31:G31)</f>
        <v>204.46839519971394</v>
      </c>
      <c r="I31" s="684">
        <f t="shared" si="5"/>
        <v>115.88615939935528</v>
      </c>
      <c r="J31" s="711">
        <v>2.8E-3</v>
      </c>
      <c r="K31" s="712">
        <f>N30+I31</f>
        <v>1412.9948007832259</v>
      </c>
      <c r="L31" s="25" t="s">
        <v>31</v>
      </c>
      <c r="M31" s="713">
        <f t="shared" si="6"/>
        <v>3.7941448190339351</v>
      </c>
      <c r="N31" s="714">
        <f>K31+M31</f>
        <v>1416.7889456022599</v>
      </c>
      <c r="O31" s="25" t="s">
        <v>31</v>
      </c>
      <c r="P31" s="36">
        <f t="shared" si="1"/>
        <v>21</v>
      </c>
      <c r="Q31" s="132"/>
    </row>
    <row r="32" spans="1:19" ht="16.5" thickBot="1" x14ac:dyDescent="0.3">
      <c r="A32" s="36">
        <f t="shared" si="0"/>
        <v>22</v>
      </c>
      <c r="D32" s="307">
        <f t="shared" ref="D32:I32" si="11">SUM(D20:D31)</f>
        <v>3844.2546551888304</v>
      </c>
      <c r="E32" s="308">
        <f>SUM(E20:E31)</f>
        <v>3467.4498317376833</v>
      </c>
      <c r="F32" s="308">
        <f t="shared" si="11"/>
        <v>-1013.8290893411159</v>
      </c>
      <c r="G32" s="308">
        <f t="shared" si="11"/>
        <v>0</v>
      </c>
      <c r="H32" s="308">
        <f t="shared" si="11"/>
        <v>2453.6207423965675</v>
      </c>
      <c r="I32" s="308">
        <f t="shared" si="11"/>
        <v>1390.6339127922629</v>
      </c>
      <c r="J32" s="657"/>
      <c r="K32" s="309"/>
      <c r="L32" s="309"/>
      <c r="M32" s="308">
        <f>SUM(M20:M31)</f>
        <v>26.155032809996118</v>
      </c>
      <c r="N32" s="309"/>
      <c r="O32" s="309"/>
      <c r="P32" s="36">
        <f t="shared" si="1"/>
        <v>22</v>
      </c>
    </row>
    <row r="33" spans="1:15" ht="16.5" thickTop="1" x14ac:dyDescent="0.25">
      <c r="D33" s="658" t="s">
        <v>31</v>
      </c>
      <c r="E33" s="34"/>
      <c r="F33" s="34"/>
      <c r="G33" s="34"/>
      <c r="H33" s="34"/>
      <c r="I33" s="78"/>
      <c r="J33" s="657"/>
      <c r="K33" s="309"/>
      <c r="L33" s="309"/>
      <c r="M33" s="78"/>
      <c r="N33" s="309"/>
      <c r="O33" s="309"/>
    </row>
    <row r="34" spans="1:15" x14ac:dyDescent="0.25"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</row>
    <row r="35" spans="1:15" x14ac:dyDescent="0.25">
      <c r="A35" s="25" t="s">
        <v>31</v>
      </c>
      <c r="B35" s="23" t="s">
        <v>598</v>
      </c>
      <c r="F35" s="311"/>
      <c r="G35" s="311"/>
    </row>
    <row r="36" spans="1:15" x14ac:dyDescent="0.25">
      <c r="A36" s="25"/>
      <c r="B36" s="23" t="s">
        <v>599</v>
      </c>
      <c r="F36" s="311"/>
      <c r="G36" s="311"/>
    </row>
    <row r="37" spans="1:15" ht="18.75" x14ac:dyDescent="0.25">
      <c r="A37" s="312">
        <v>1</v>
      </c>
      <c r="B37" s="37" t="s">
        <v>184</v>
      </c>
      <c r="F37" s="311"/>
      <c r="G37" s="311"/>
    </row>
    <row r="38" spans="1:15" ht="18.75" x14ac:dyDescent="0.25">
      <c r="A38" s="312">
        <v>2</v>
      </c>
      <c r="B38" s="37" t="s">
        <v>185</v>
      </c>
    </row>
    <row r="39" spans="1:15" ht="18.75" x14ac:dyDescent="0.25">
      <c r="A39" s="312">
        <v>3</v>
      </c>
      <c r="B39" s="37" t="s">
        <v>186</v>
      </c>
    </row>
    <row r="40" spans="1:15" ht="18.75" x14ac:dyDescent="0.25">
      <c r="A40" s="312">
        <v>4</v>
      </c>
      <c r="B40" s="37" t="s">
        <v>187</v>
      </c>
    </row>
    <row r="41" spans="1:15" ht="18.75" x14ac:dyDescent="0.25">
      <c r="A41" s="312"/>
      <c r="B41" s="37" t="s">
        <v>188</v>
      </c>
    </row>
    <row r="42" spans="1:15" ht="18.75" x14ac:dyDescent="0.25">
      <c r="A42" s="312">
        <v>5</v>
      </c>
      <c r="B42" s="37" t="s">
        <v>189</v>
      </c>
      <c r="C42" s="607"/>
    </row>
    <row r="43" spans="1:15" ht="18.75" x14ac:dyDescent="0.25">
      <c r="A43" s="312">
        <v>6</v>
      </c>
      <c r="B43" s="37" t="s">
        <v>190</v>
      </c>
    </row>
    <row r="44" spans="1:15" ht="18.75" x14ac:dyDescent="0.25">
      <c r="A44" s="312">
        <v>7</v>
      </c>
      <c r="B44" s="37" t="s">
        <v>191</v>
      </c>
    </row>
  </sheetData>
  <mergeCells count="5">
    <mergeCell ref="B3:P3"/>
    <mergeCell ref="B4:P4"/>
    <mergeCell ref="B5:P5"/>
    <mergeCell ref="B6:P6"/>
    <mergeCell ref="B7:N7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Roman,Bold"&amp;6AS FILED SEC. 4 WITH COST ADJ. INCL. IN APPENDIX X CYCLE 11 (ER23-109)</oddHeader>
    <oddFooter>&amp;L&amp;F&amp;CPage 7.1&amp;R&amp;A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3B3B9-87C6-4A42-8C75-02B6AB4D9C35}">
  <ds:schemaRefs>
    <ds:schemaRef ds:uri="2e183c04-4e8d-4715-bce7-54b439dc82e0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D22FD4-A3C6-4D6C-ABBF-1C4CA7847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10</vt:i4>
      </vt:variant>
    </vt:vector>
  </HeadingPairs>
  <TitlesOfParts>
    <vt:vector size="30" baseType="lpstr">
      <vt:lpstr>Pg1 Appendix X C10 Cost Adj</vt:lpstr>
      <vt:lpstr>Pg2 Appendix X C10 Comparison</vt:lpstr>
      <vt:lpstr>Pg3 Rev App. X C10</vt:lpstr>
      <vt:lpstr>Pg4 App.X C10-Cost Adj</vt:lpstr>
      <vt:lpstr>Pg4.1 As Filed-Orig. App X C10</vt:lpstr>
      <vt:lpstr>Pg5 Rev Sec.2-Non-Direct Exp</vt:lpstr>
      <vt:lpstr>Pg6 As Filed Sec.2-Cost Adj</vt:lpstr>
      <vt:lpstr>Pg7 Rev Sec.4-TU</vt:lpstr>
      <vt:lpstr>Pg7.1 As Filed Sec.4-Cost Adj</vt:lpstr>
      <vt:lpstr>Pg8 Rev Stmt AH</vt:lpstr>
      <vt:lpstr>Pg8.1 As Filed-Stmt AH-Cost Adj</vt:lpstr>
      <vt:lpstr>Pg8.2 Rev AH-3</vt:lpstr>
      <vt:lpstr>Pg8.3 As Filed-AH-3-Cost Adj </vt:lpstr>
      <vt:lpstr>Pg9 Rev Stmt AL</vt:lpstr>
      <vt:lpstr>Pg9.1 As Filed-Smt AL-Cost Adj</vt:lpstr>
      <vt:lpstr>Pg10 Rev Stmt AV</vt:lpstr>
      <vt:lpstr>Pg11 As Filed Stmt AV-Cost Adj</vt:lpstr>
      <vt:lpstr>Pg12 Rev AV-4</vt:lpstr>
      <vt:lpstr>Pg13 As Filed AV-4 Cost Adj</vt:lpstr>
      <vt:lpstr>Pg14 Appendix X C10 Int Calc</vt:lpstr>
      <vt:lpstr>'Pg11 As Filed Stmt AV-Cost Adj'!Print_Area</vt:lpstr>
      <vt:lpstr>'Pg13 As Filed AV-4 Cost Adj'!Print_Area</vt:lpstr>
      <vt:lpstr>'Pg4 App.X C10-Cost Adj'!Print_Area</vt:lpstr>
      <vt:lpstr>'Pg4.1 As Filed-Orig. App X C10'!Print_Area</vt:lpstr>
      <vt:lpstr>'Pg6 As Filed Sec.2-Cost Adj'!Print_Area</vt:lpstr>
      <vt:lpstr>'Pg7.1 As Filed Sec.4-Cost Adj'!Print_Area</vt:lpstr>
      <vt:lpstr>'Pg8.1 As Filed-Stmt AH-Cost Adj'!Print_Area</vt:lpstr>
      <vt:lpstr>'Pg8.2 Rev AH-3'!Print_Area</vt:lpstr>
      <vt:lpstr>'Pg8.3 As Filed-AH-3-Cost Adj '!Print_Area</vt:lpstr>
      <vt:lpstr>'Pg9.1 As Filed-Smt AL-Cost Adj'!Print_Area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Pham, Jenny L.</cp:lastModifiedBy>
  <cp:revision/>
  <cp:lastPrinted>2023-10-10T22:17:18Z</cp:lastPrinted>
  <dcterms:created xsi:type="dcterms:W3CDTF">2021-03-15T22:51:55Z</dcterms:created>
  <dcterms:modified xsi:type="dcterms:W3CDTF">2023-10-10T22:17:18Z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