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2/TRBAA, TACBAA, RSBA Filings in 2022 for 2023/TRBAA/Filing Workpapers/Filing Workpapers/"/>
    </mc:Choice>
  </mc:AlternateContent>
  <xr:revisionPtr revIDLastSave="9" documentId="14_{F0C36FD8-1F10-40DE-8B2F-62FD4B19D612}" xr6:coauthVersionLast="47" xr6:coauthVersionMax="47" xr10:uidLastSave="{DDEE6F5B-2E25-4711-90A8-7BCF31ED5F0E}"/>
  <bookViews>
    <workbookView xWindow="28680" yWindow="-120" windowWidth="20730" windowHeight="11160" tabRatio="914" xr2:uid="{00000000-000D-0000-FFFF-FFFF00000000}"/>
  </bookViews>
  <sheets>
    <sheet name="Stmnt BD - Recorded KWH" sheetId="24" r:id="rId1"/>
    <sheet name="Stmnt BD - Forecast KWH" sheetId="51" r:id="rId2"/>
    <sheet name="Stmnt BD-Forecast MWH@Transm." sheetId="35" r:id="rId3"/>
    <sheet name="Stmt BD-Forecast Pump Storage" sheetId="138" r:id="rId4"/>
    <sheet name="Stmt BD-Pump Load True Up Adj" sheetId="146" r:id="rId5"/>
    <sheet name="Stmt BG - Page 1" sheetId="114" r:id="rId6"/>
    <sheet name="Stmt BG - Page 2" sheetId="139" r:id="rId7"/>
    <sheet name="Stmt BG - Page 3" sheetId="116" r:id="rId8"/>
    <sheet name="Stmt BG - Page 4" sheetId="117" r:id="rId9"/>
    <sheet name="Stmt BH - Page 1" sheetId="140" r:id="rId10"/>
    <sheet name="Stmt BH - Page 2" sheetId="119" r:id="rId11"/>
    <sheet name="Stmt BH - Page 3" sheetId="120" r:id="rId12"/>
    <sheet name="Stmnt BK1 - TRBAA" sheetId="46" r:id="rId13"/>
    <sheet name="Stmnt BK2 - TRBAA" sheetId="32" r:id="rId14"/>
    <sheet name="Stmnt BL (Retail) - TRBAA" sheetId="47" r:id="rId15"/>
    <sheet name="Stmnt BL - CAISO WHOLESALE" sheetId="22" r:id="rId16"/>
    <sheet name="WP 1.1 Recorded Sales" sheetId="96" r:id="rId17"/>
    <sheet name="WP 1.2 Forecast Sales" sheetId="97" r:id="rId18"/>
    <sheet name="WP 2 Allocation of TRBAA" sheetId="17" r:id="rId19"/>
    <sheet name="WP 3 Standby Revenues" sheetId="147" r:id="rId20"/>
    <sheet name="WP 4 Monthly TRBAA " sheetId="111" r:id="rId21"/>
    <sheet name="WP 4 Footnotes" sheetId="89" r:id="rId22"/>
    <sheet name="WP 5 CAISO Charges" sheetId="56" r:id="rId23"/>
    <sheet name="WP 6 HV LV Alloc Summary" sheetId="143" r:id="rId24"/>
    <sheet name="WP 7 Wheeling Revenues" sheetId="79" r:id="rId25"/>
    <sheet name="WP 8 CT4575" sheetId="113" r:id="rId26"/>
    <sheet name="WP 9 ETC Cost Diffs" sheetId="144" r:id="rId27"/>
    <sheet name="WP 10 ETC Costs" sheetId="141" r:id="rId28"/>
    <sheet name="WP 11 Other PTO Forecast" sheetId="107" r:id="rId29"/>
    <sheet name="WP 12 PTO" sheetId="108" r:id="rId30"/>
  </sheets>
  <externalReferences>
    <externalReference r:id="rId31"/>
  </externalReferences>
  <definedNames>
    <definedName name="_Fill" localSheetId="4" hidden="1">[1]Statement_BK!#REF!</definedName>
    <definedName name="_Fill" localSheetId="28" hidden="1">[1]Statement_BK!#REF!</definedName>
    <definedName name="_Fill" localSheetId="29" hidden="1">[1]Statement_BK!#REF!</definedName>
    <definedName name="_Fill" localSheetId="20" hidden="1">[1]Statement_BK!#REF!</definedName>
    <definedName name="_Fill" localSheetId="25" hidden="1">[1]Statement_BK!#REF!</definedName>
    <definedName name="_Fill" hidden="1">[1]Statement_BK!#REF!</definedName>
    <definedName name="_xlnm.Print_Area" localSheetId="6">'Stmt BG - Page 2'!$A$1:$J$45</definedName>
    <definedName name="_xlnm.Print_Area" localSheetId="9">'Stmt BH - Page 1'!$A$1:$J$45</definedName>
    <definedName name="_xlnm.Print_Area" localSheetId="10">'Stmt BH - Page 2'!$A$1:$J$46</definedName>
    <definedName name="_xlnm.Print_Area" localSheetId="11">'Stmt BH - Page 3'!$A$1:$K$46</definedName>
    <definedName name="_xlnm.Print_Area" localSheetId="16">'WP 1.1 Recorded Sales'!$A$1:$P$49</definedName>
    <definedName name="_xlnm.Print_Area" localSheetId="17">'WP 1.2 Forecast Sales'!$A$1:$P$49</definedName>
    <definedName name="_xlnm.Print_Area" localSheetId="27">'WP 10 ETC Costs'!$D$3:$Q$54</definedName>
    <definedName name="_xlnm.Print_Area" localSheetId="29">'WP 12 PTO'!$A$1:$Q$31</definedName>
    <definedName name="_xlnm.Print_Area" localSheetId="19">'WP 3 Standby Revenues'!$A$1:$G$20</definedName>
    <definedName name="_xlnm.Print_Area" localSheetId="20">'WP 4 Monthly TRBAA '!$A$1:$Q$44</definedName>
    <definedName name="_xlnm.Print_Area" localSheetId="22">'WP 5 CAISO Charges'!$A$1:$Q$20</definedName>
    <definedName name="_xlnm.Print_Area" localSheetId="23">'WP 6 HV LV Alloc Summary'!$A$1:$G$50</definedName>
    <definedName name="_xlnm.Print_Titles" localSheetId="27">'WP 10 ETC Costs'!$A:$C</definedName>
    <definedName name="_xlnm.Print_Titles" localSheetId="20">'WP 4 Monthly TRBAA '!$A:$B</definedName>
    <definedName name="_xlnm.Print_Titles" localSheetId="22">'WP 5 CAISO Charges'!$A:$B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43" l="1"/>
  <c r="C18" i="143"/>
  <c r="P30" i="108" l="1"/>
  <c r="P29" i="108"/>
  <c r="G3" i="108"/>
  <c r="E3" i="108"/>
  <c r="F3" i="108"/>
  <c r="A48" i="141"/>
  <c r="A38" i="141"/>
  <c r="A27" i="141"/>
  <c r="A24" i="141"/>
  <c r="A23" i="141"/>
  <c r="Q23" i="141"/>
  <c r="A6" i="141"/>
  <c r="O47" i="141"/>
  <c r="O20" i="141"/>
  <c r="O19" i="141"/>
  <c r="M47" i="141" l="1"/>
  <c r="K47" i="141"/>
  <c r="K49" i="141" s="1"/>
  <c r="J16" i="56" s="1"/>
  <c r="J47" i="141"/>
  <c r="I47" i="141"/>
  <c r="I49" i="141" s="1"/>
  <c r="H47" i="141"/>
  <c r="H49" i="141" s="1"/>
  <c r="H52" i="141" s="1"/>
  <c r="F47" i="141"/>
  <c r="D20" i="141"/>
  <c r="P20" i="141" s="1"/>
  <c r="N19" i="141"/>
  <c r="N49" i="141" s="1"/>
  <c r="M16" i="56" s="1"/>
  <c r="M19" i="141"/>
  <c r="M49" i="141" s="1"/>
  <c r="L16" i="56" s="1"/>
  <c r="L19" i="141"/>
  <c r="L49" i="141" s="1"/>
  <c r="K19" i="141"/>
  <c r="J19" i="141"/>
  <c r="I19" i="141"/>
  <c r="H19" i="141"/>
  <c r="G19" i="141"/>
  <c r="F19" i="141"/>
  <c r="E19" i="141"/>
  <c r="D19" i="141"/>
  <c r="D5" i="141"/>
  <c r="P34" i="96"/>
  <c r="P35" i="96" s="1"/>
  <c r="D34" i="96"/>
  <c r="E34" i="96"/>
  <c r="F34" i="96"/>
  <c r="G34" i="96"/>
  <c r="H34" i="96"/>
  <c r="I34" i="96"/>
  <c r="J34" i="96"/>
  <c r="K34" i="96"/>
  <c r="L34" i="96"/>
  <c r="M34" i="96"/>
  <c r="N34" i="96"/>
  <c r="O34" i="96" s="1"/>
  <c r="C34" i="96"/>
  <c r="A34" i="96"/>
  <c r="A35" i="96"/>
  <c r="O9" i="96"/>
  <c r="O10" i="96"/>
  <c r="P21" i="141"/>
  <c r="E49" i="141"/>
  <c r="D16" i="56" s="1"/>
  <c r="D19" i="111" s="1"/>
  <c r="E53" i="141" s="1"/>
  <c r="F49" i="141"/>
  <c r="E16" i="56" s="1"/>
  <c r="G49" i="141"/>
  <c r="F16" i="56" s="1"/>
  <c r="L10" i="56"/>
  <c r="L17" i="111"/>
  <c r="O49" i="141"/>
  <c r="N16" i="56" s="1"/>
  <c r="D56" i="111"/>
  <c r="E56" i="111"/>
  <c r="F56" i="111"/>
  <c r="G56" i="111"/>
  <c r="H56" i="111"/>
  <c r="I56" i="111"/>
  <c r="J56" i="111"/>
  <c r="K56" i="111"/>
  <c r="L56" i="111"/>
  <c r="M56" i="111"/>
  <c r="N56" i="111"/>
  <c r="C56" i="111"/>
  <c r="F43" i="111"/>
  <c r="G11" i="111"/>
  <c r="F11" i="111"/>
  <c r="E3" i="141"/>
  <c r="F3" i="141"/>
  <c r="G3" i="141"/>
  <c r="H3" i="141"/>
  <c r="H3" i="108" s="1"/>
  <c r="I3" i="141"/>
  <c r="I3" i="108"/>
  <c r="J3" i="141"/>
  <c r="J3" i="108" s="1"/>
  <c r="K3" i="141"/>
  <c r="K3" i="108" s="1"/>
  <c r="L3" i="141"/>
  <c r="L3" i="108" s="1"/>
  <c r="M3" i="141"/>
  <c r="M3" i="108" s="1"/>
  <c r="N3" i="141"/>
  <c r="N3" i="108" s="1"/>
  <c r="O3" i="141"/>
  <c r="O3" i="108" s="1"/>
  <c r="D3" i="141"/>
  <c r="D3" i="108" s="1"/>
  <c r="P22" i="141"/>
  <c r="A7" i="141"/>
  <c r="I5" i="111"/>
  <c r="J5" i="111"/>
  <c r="K5" i="111"/>
  <c r="L5" i="111"/>
  <c r="M5" i="111"/>
  <c r="N5" i="111"/>
  <c r="H5" i="111"/>
  <c r="G5" i="111"/>
  <c r="F5" i="111"/>
  <c r="B28" i="47"/>
  <c r="D10" i="114"/>
  <c r="D34" i="97"/>
  <c r="E34" i="97"/>
  <c r="F34" i="97"/>
  <c r="G34" i="97"/>
  <c r="H34" i="97"/>
  <c r="I34" i="97"/>
  <c r="J34" i="97"/>
  <c r="K34" i="97"/>
  <c r="L34" i="97"/>
  <c r="M34" i="97"/>
  <c r="N34" i="97"/>
  <c r="C34" i="97"/>
  <c r="P34" i="97"/>
  <c r="P35" i="97"/>
  <c r="A34" i="97"/>
  <c r="A35" i="97"/>
  <c r="O9" i="97"/>
  <c r="C14" i="97"/>
  <c r="D14" i="97"/>
  <c r="E14" i="97"/>
  <c r="F14" i="97"/>
  <c r="G14" i="97"/>
  <c r="H14" i="97"/>
  <c r="I14" i="97"/>
  <c r="J14" i="97"/>
  <c r="K14" i="97"/>
  <c r="L14" i="97"/>
  <c r="M14" i="97"/>
  <c r="N14" i="97"/>
  <c r="O34" i="97"/>
  <c r="Q16" i="108"/>
  <c r="Q17" i="108"/>
  <c r="Q18" i="108"/>
  <c r="Q19" i="108"/>
  <c r="Q20" i="108"/>
  <c r="Q21" i="108"/>
  <c r="Q22" i="108"/>
  <c r="Q23" i="108"/>
  <c r="A16" i="108"/>
  <c r="A17" i="108"/>
  <c r="A18" i="108"/>
  <c r="A19" i="108"/>
  <c r="A20" i="108"/>
  <c r="A21" i="108"/>
  <c r="A22" i="108"/>
  <c r="A23" i="108"/>
  <c r="N43" i="111"/>
  <c r="M43" i="111"/>
  <c r="L43" i="111"/>
  <c r="K43" i="111"/>
  <c r="J43" i="111"/>
  <c r="I43" i="111"/>
  <c r="P46" i="141"/>
  <c r="P45" i="141"/>
  <c r="P44" i="141"/>
  <c r="P43" i="141"/>
  <c r="P42" i="141"/>
  <c r="P41" i="141"/>
  <c r="P40" i="141"/>
  <c r="P39" i="141"/>
  <c r="P38" i="141"/>
  <c r="P37" i="141"/>
  <c r="P36" i="141"/>
  <c r="P35" i="141"/>
  <c r="P34" i="141"/>
  <c r="P33" i="141"/>
  <c r="P32" i="141"/>
  <c r="P31" i="141"/>
  <c r="P30" i="141"/>
  <c r="P29" i="141"/>
  <c r="P28" i="141"/>
  <c r="P27" i="141"/>
  <c r="P26" i="141"/>
  <c r="P18" i="141"/>
  <c r="P17" i="141"/>
  <c r="P16" i="141"/>
  <c r="P15" i="141"/>
  <c r="P14" i="141"/>
  <c r="P13" i="141"/>
  <c r="P12" i="141"/>
  <c r="P11" i="141"/>
  <c r="P10" i="141"/>
  <c r="P9" i="141"/>
  <c r="P8" i="141"/>
  <c r="P7" i="141"/>
  <c r="P6" i="141"/>
  <c r="H11" i="111"/>
  <c r="I11" i="111"/>
  <c r="G43" i="111"/>
  <c r="H43" i="111"/>
  <c r="D11" i="147"/>
  <c r="C11" i="147"/>
  <c r="E11" i="147" s="1"/>
  <c r="D13" i="147" s="1"/>
  <c r="D15" i="147" s="1"/>
  <c r="G10" i="147"/>
  <c r="G11" i="147"/>
  <c r="G12" i="147"/>
  <c r="G13" i="147"/>
  <c r="G14" i="147"/>
  <c r="G15" i="147"/>
  <c r="A10" i="147"/>
  <c r="A11" i="147"/>
  <c r="A12" i="147"/>
  <c r="A13" i="147"/>
  <c r="A14" i="147"/>
  <c r="A15" i="147"/>
  <c r="D45" i="143"/>
  <c r="C45" i="143"/>
  <c r="P31" i="108"/>
  <c r="O17" i="108"/>
  <c r="O20" i="108" s="1"/>
  <c r="N17" i="108"/>
  <c r="M17" i="108"/>
  <c r="L17" i="108"/>
  <c r="K17" i="108"/>
  <c r="J17" i="108"/>
  <c r="I17" i="108"/>
  <c r="H19" i="56" s="1"/>
  <c r="H17" i="108"/>
  <c r="G17" i="108"/>
  <c r="F17" i="108"/>
  <c r="E17" i="108"/>
  <c r="D17" i="108"/>
  <c r="A5" i="108"/>
  <c r="A6" i="108"/>
  <c r="A7" i="108"/>
  <c r="A8" i="108"/>
  <c r="A9" i="108"/>
  <c r="A10" i="108"/>
  <c r="A11" i="108"/>
  <c r="A12" i="108"/>
  <c r="A13" i="108"/>
  <c r="A14" i="108"/>
  <c r="A15" i="108"/>
  <c r="F42" i="111"/>
  <c r="M42" i="111"/>
  <c r="C43" i="111"/>
  <c r="D43" i="111"/>
  <c r="C42" i="111"/>
  <c r="E42" i="111"/>
  <c r="G42" i="111"/>
  <c r="N42" i="111"/>
  <c r="J42" i="111"/>
  <c r="K42" i="111"/>
  <c r="E43" i="111"/>
  <c r="D42" i="111"/>
  <c r="H42" i="111"/>
  <c r="L42" i="111"/>
  <c r="I42" i="111"/>
  <c r="P25" i="141"/>
  <c r="P13" i="108"/>
  <c r="I50" i="111"/>
  <c r="C30" i="111"/>
  <c r="E13" i="32"/>
  <c r="D24" i="35"/>
  <c r="D23" i="35"/>
  <c r="D22" i="35"/>
  <c r="D21" i="35"/>
  <c r="D20" i="35"/>
  <c r="D19" i="35"/>
  <c r="D18" i="35"/>
  <c r="D17" i="35"/>
  <c r="D16" i="35"/>
  <c r="D15" i="35"/>
  <c r="D14" i="35"/>
  <c r="D13" i="35"/>
  <c r="D38" i="97"/>
  <c r="D13" i="51"/>
  <c r="E38" i="97"/>
  <c r="D14" i="51"/>
  <c r="F38" i="97"/>
  <c r="D15" i="51"/>
  <c r="G38" i="97"/>
  <c r="D16" i="51"/>
  <c r="H38" i="97"/>
  <c r="D17" i="51"/>
  <c r="I38" i="97"/>
  <c r="D18" i="51"/>
  <c r="J38" i="97"/>
  <c r="D19" i="51"/>
  <c r="K38" i="97"/>
  <c r="D20" i="51"/>
  <c r="L38" i="97"/>
  <c r="D21" i="51"/>
  <c r="M38" i="97"/>
  <c r="D22" i="51"/>
  <c r="N38" i="97"/>
  <c r="D23" i="51"/>
  <c r="C38" i="97"/>
  <c r="D12" i="51"/>
  <c r="O31" i="108"/>
  <c r="E45" i="143"/>
  <c r="E12" i="146"/>
  <c r="E14" i="146"/>
  <c r="E16" i="146"/>
  <c r="E18" i="146"/>
  <c r="A12" i="146"/>
  <c r="A14" i="146"/>
  <c r="A16" i="146"/>
  <c r="A18" i="146"/>
  <c r="C14" i="146"/>
  <c r="C18" i="146"/>
  <c r="F38" i="35"/>
  <c r="C6" i="89"/>
  <c r="A6" i="89"/>
  <c r="C7" i="89"/>
  <c r="P5" i="108"/>
  <c r="Q6" i="108"/>
  <c r="Q7" i="108"/>
  <c r="Q8" i="108"/>
  <c r="D30" i="107"/>
  <c r="D28" i="107"/>
  <c r="D26" i="107"/>
  <c r="D24" i="107"/>
  <c r="D22" i="107"/>
  <c r="D20" i="107"/>
  <c r="D18" i="107"/>
  <c r="D16" i="107"/>
  <c r="D14" i="107"/>
  <c r="D12" i="107"/>
  <c r="D10" i="107"/>
  <c r="A9" i="107"/>
  <c r="A10" i="107"/>
  <c r="A11" i="107"/>
  <c r="E8" i="107"/>
  <c r="E9" i="107"/>
  <c r="E11" i="107"/>
  <c r="A12" i="107"/>
  <c r="E10" i="107"/>
  <c r="C30" i="113"/>
  <c r="C28" i="113"/>
  <c r="C26" i="113"/>
  <c r="C24" i="113"/>
  <c r="C22" i="113"/>
  <c r="C20" i="113"/>
  <c r="C18" i="113"/>
  <c r="C16" i="113"/>
  <c r="C14" i="113"/>
  <c r="C12" i="113"/>
  <c r="C10" i="113"/>
  <c r="C8" i="113"/>
  <c r="D30" i="144"/>
  <c r="D28" i="144"/>
  <c r="D26" i="144"/>
  <c r="D24" i="144"/>
  <c r="D22" i="144"/>
  <c r="D20" i="144"/>
  <c r="D18" i="144"/>
  <c r="D16" i="144"/>
  <c r="D14" i="144"/>
  <c r="D12" i="144"/>
  <c r="D10" i="144"/>
  <c r="A10" i="144"/>
  <c r="E10" i="144"/>
  <c r="A9" i="144"/>
  <c r="E9" i="144"/>
  <c r="E8" i="144"/>
  <c r="D30" i="113"/>
  <c r="D28" i="113"/>
  <c r="D26" i="113"/>
  <c r="D24" i="113"/>
  <c r="D22" i="113"/>
  <c r="D20" i="113"/>
  <c r="D18" i="113"/>
  <c r="D16" i="113"/>
  <c r="D14" i="113"/>
  <c r="D12" i="113"/>
  <c r="D10" i="113"/>
  <c r="A9" i="113"/>
  <c r="A10" i="113"/>
  <c r="A11" i="113"/>
  <c r="D16" i="143"/>
  <c r="C16" i="143"/>
  <c r="E14" i="143"/>
  <c r="E16" i="143" s="1"/>
  <c r="E12" i="143"/>
  <c r="A9" i="143"/>
  <c r="A10" i="143"/>
  <c r="B28" i="120"/>
  <c r="B28" i="117"/>
  <c r="A11" i="144"/>
  <c r="E9" i="113"/>
  <c r="A11" i="143"/>
  <c r="G10" i="143"/>
  <c r="G9" i="143"/>
  <c r="E12" i="107"/>
  <c r="A13" i="107"/>
  <c r="C32" i="113"/>
  <c r="C34" i="113"/>
  <c r="E11" i="113"/>
  <c r="A12" i="113"/>
  <c r="E10" i="113"/>
  <c r="A12" i="144"/>
  <c r="E11" i="144"/>
  <c r="C16" i="47"/>
  <c r="C16" i="46"/>
  <c r="E30" i="143"/>
  <c r="A12" i="143"/>
  <c r="G11" i="143"/>
  <c r="A14" i="107"/>
  <c r="E13" i="107"/>
  <c r="E12" i="113"/>
  <c r="A13" i="113"/>
  <c r="A13" i="144"/>
  <c r="E12" i="144"/>
  <c r="A13" i="143"/>
  <c r="G12" i="143"/>
  <c r="E14" i="107"/>
  <c r="A15" i="107"/>
  <c r="A14" i="113"/>
  <c r="E13" i="113"/>
  <c r="E31" i="35"/>
  <c r="A14" i="144"/>
  <c r="E13" i="144"/>
  <c r="G13" i="143"/>
  <c r="A14" i="143"/>
  <c r="A16" i="107"/>
  <c r="E15" i="107"/>
  <c r="E14" i="113"/>
  <c r="A15" i="113"/>
  <c r="A15" i="144"/>
  <c r="E14" i="144"/>
  <c r="A15" i="143"/>
  <c r="G14" i="143"/>
  <c r="A17" i="107"/>
  <c r="E16" i="107"/>
  <c r="A16" i="113"/>
  <c r="E15" i="113"/>
  <c r="A16" i="144"/>
  <c r="E15" i="144"/>
  <c r="A16" i="143"/>
  <c r="G15" i="143"/>
  <c r="A18" i="107"/>
  <c r="E17" i="107"/>
  <c r="A17" i="113"/>
  <c r="E16" i="113"/>
  <c r="A17" i="144"/>
  <c r="E16" i="144"/>
  <c r="G16" i="143"/>
  <c r="A17" i="143"/>
  <c r="E18" i="107"/>
  <c r="A19" i="107"/>
  <c r="A18" i="113"/>
  <c r="E17" i="113"/>
  <c r="E17" i="144"/>
  <c r="A18" i="144"/>
  <c r="A18" i="143"/>
  <c r="G17" i="143"/>
  <c r="E19" i="107"/>
  <c r="A20" i="107"/>
  <c r="A19" i="113"/>
  <c r="E18" i="113"/>
  <c r="A19" i="144"/>
  <c r="E18" i="144"/>
  <c r="G18" i="143"/>
  <c r="A19" i="143"/>
  <c r="A21" i="107"/>
  <c r="E20" i="107"/>
  <c r="E19" i="113"/>
  <c r="A20" i="113"/>
  <c r="C61" i="111"/>
  <c r="D21" i="120"/>
  <c r="E21" i="120"/>
  <c r="F21" i="120"/>
  <c r="G21" i="120"/>
  <c r="H21" i="120"/>
  <c r="C21" i="120"/>
  <c r="D19" i="120"/>
  <c r="E19" i="120"/>
  <c r="F19" i="120"/>
  <c r="G19" i="120"/>
  <c r="H19" i="120"/>
  <c r="C19" i="120"/>
  <c r="D17" i="120"/>
  <c r="E17" i="120"/>
  <c r="F17" i="120"/>
  <c r="G17" i="120"/>
  <c r="H17" i="120"/>
  <c r="C17" i="120"/>
  <c r="D13" i="120"/>
  <c r="E13" i="120"/>
  <c r="F13" i="120"/>
  <c r="G13" i="120"/>
  <c r="H13" i="120"/>
  <c r="C13" i="120"/>
  <c r="D11" i="120"/>
  <c r="E11" i="120"/>
  <c r="F11" i="120"/>
  <c r="G11" i="120"/>
  <c r="H11" i="120"/>
  <c r="C11" i="120"/>
  <c r="D21" i="119"/>
  <c r="E21" i="119"/>
  <c r="F21" i="119"/>
  <c r="G21" i="119"/>
  <c r="H21" i="119"/>
  <c r="C21" i="119"/>
  <c r="C43" i="119"/>
  <c r="D19" i="119"/>
  <c r="E19" i="119"/>
  <c r="F19" i="119"/>
  <c r="G19" i="119"/>
  <c r="H19" i="119"/>
  <c r="C19" i="119"/>
  <c r="C41" i="119"/>
  <c r="D17" i="119"/>
  <c r="E17" i="119"/>
  <c r="F17" i="119"/>
  <c r="G17" i="119"/>
  <c r="H17" i="119"/>
  <c r="C17" i="119"/>
  <c r="C39" i="119"/>
  <c r="D13" i="119"/>
  <c r="E13" i="119"/>
  <c r="F13" i="119"/>
  <c r="G13" i="119"/>
  <c r="H13" i="119"/>
  <c r="C13" i="119"/>
  <c r="C35" i="119"/>
  <c r="D11" i="119"/>
  <c r="E11" i="119"/>
  <c r="F11" i="119"/>
  <c r="G11" i="119"/>
  <c r="H11" i="119"/>
  <c r="C11" i="119"/>
  <c r="C33" i="119"/>
  <c r="D21" i="117"/>
  <c r="E21" i="117"/>
  <c r="F21" i="117"/>
  <c r="G21" i="117"/>
  <c r="H21" i="117"/>
  <c r="C21" i="117"/>
  <c r="D19" i="117"/>
  <c r="E19" i="117"/>
  <c r="F19" i="117"/>
  <c r="G19" i="117"/>
  <c r="H19" i="117"/>
  <c r="C19" i="117"/>
  <c r="D17" i="117"/>
  <c r="E17" i="117"/>
  <c r="F17" i="117"/>
  <c r="G17" i="117"/>
  <c r="H17" i="117"/>
  <c r="C17" i="117"/>
  <c r="D13" i="117"/>
  <c r="E13" i="117"/>
  <c r="F13" i="117"/>
  <c r="G13" i="117"/>
  <c r="H13" i="117"/>
  <c r="C13" i="117"/>
  <c r="D11" i="117"/>
  <c r="E11" i="117"/>
  <c r="F11" i="117"/>
  <c r="G11" i="117"/>
  <c r="H11" i="117"/>
  <c r="C11" i="117"/>
  <c r="D21" i="116"/>
  <c r="E21" i="116"/>
  <c r="F21" i="116"/>
  <c r="G21" i="116"/>
  <c r="H21" i="116"/>
  <c r="C21" i="116"/>
  <c r="D19" i="116"/>
  <c r="E19" i="116"/>
  <c r="F19" i="116"/>
  <c r="G19" i="116"/>
  <c r="H19" i="116"/>
  <c r="C19" i="116"/>
  <c r="D17" i="116"/>
  <c r="E17" i="116"/>
  <c r="F17" i="116"/>
  <c r="G17" i="116"/>
  <c r="H17" i="116"/>
  <c r="C17" i="116"/>
  <c r="D13" i="116"/>
  <c r="E13" i="116"/>
  <c r="F13" i="116"/>
  <c r="G13" i="116"/>
  <c r="H13" i="116"/>
  <c r="C13" i="116"/>
  <c r="D11" i="116"/>
  <c r="E11" i="116"/>
  <c r="F11" i="116"/>
  <c r="G11" i="116"/>
  <c r="H11" i="116"/>
  <c r="C11" i="116"/>
  <c r="A20" i="144"/>
  <c r="E19" i="144"/>
  <c r="A20" i="143"/>
  <c r="G19" i="143"/>
  <c r="A22" i="107"/>
  <c r="E21" i="107"/>
  <c r="A21" i="113"/>
  <c r="E20" i="113"/>
  <c r="A21" i="144"/>
  <c r="E20" i="144"/>
  <c r="G20" i="143"/>
  <c r="A21" i="143"/>
  <c r="E22" i="107"/>
  <c r="A23" i="107"/>
  <c r="A22" i="113"/>
  <c r="E21" i="113"/>
  <c r="E21" i="144"/>
  <c r="A22" i="144"/>
  <c r="A22" i="143"/>
  <c r="G21" i="143"/>
  <c r="E23" i="107"/>
  <c r="A24" i="107"/>
  <c r="E22" i="113"/>
  <c r="A23" i="113"/>
  <c r="Q5" i="141"/>
  <c r="E22" i="144"/>
  <c r="A23" i="144"/>
  <c r="G22" i="143"/>
  <c r="A23" i="143"/>
  <c r="A25" i="107"/>
  <c r="E24" i="107"/>
  <c r="A24" i="113"/>
  <c r="E23" i="113"/>
  <c r="G52" i="141"/>
  <c r="P5" i="141"/>
  <c r="A24" i="144"/>
  <c r="E23" i="144"/>
  <c r="A24" i="143"/>
  <c r="G23" i="143"/>
  <c r="A26" i="107"/>
  <c r="E25" i="107"/>
  <c r="A25" i="113"/>
  <c r="E24" i="113"/>
  <c r="F50" i="111"/>
  <c r="E24" i="144"/>
  <c r="A25" i="144"/>
  <c r="A25" i="143"/>
  <c r="G24" i="143"/>
  <c r="A27" i="107"/>
  <c r="E26" i="107"/>
  <c r="E25" i="113"/>
  <c r="A26" i="113"/>
  <c r="E25" i="144"/>
  <c r="A26" i="144"/>
  <c r="G25" i="143"/>
  <c r="A26" i="143"/>
  <c r="E27" i="107"/>
  <c r="A28" i="107"/>
  <c r="A27" i="113"/>
  <c r="E26" i="113"/>
  <c r="B43" i="96"/>
  <c r="A4" i="120"/>
  <c r="A4" i="119"/>
  <c r="A5" i="140"/>
  <c r="A5" i="117"/>
  <c r="A4" i="117"/>
  <c r="A5" i="116"/>
  <c r="A4" i="116"/>
  <c r="A5" i="139"/>
  <c r="A4" i="139"/>
  <c r="A27" i="144"/>
  <c r="E26" i="144"/>
  <c r="G26" i="143"/>
  <c r="G27" i="143"/>
  <c r="G28" i="143"/>
  <c r="G29" i="143"/>
  <c r="G30" i="143"/>
  <c r="G31" i="143"/>
  <c r="G32" i="143"/>
  <c r="G33" i="143"/>
  <c r="G34" i="143"/>
  <c r="G35" i="143"/>
  <c r="G36" i="143"/>
  <c r="G37" i="143"/>
  <c r="G38" i="143"/>
  <c r="G39" i="143"/>
  <c r="G40" i="143"/>
  <c r="G41" i="143"/>
  <c r="G42" i="143"/>
  <c r="G43" i="143"/>
  <c r="G44" i="143"/>
  <c r="G45" i="143"/>
  <c r="G46" i="143"/>
  <c r="G47" i="143"/>
  <c r="G48" i="143"/>
  <c r="A27" i="143"/>
  <c r="A28" i="143"/>
  <c r="A29" i="143"/>
  <c r="A30" i="143"/>
  <c r="A31" i="143"/>
  <c r="A32" i="143"/>
  <c r="A33" i="143"/>
  <c r="A34" i="143"/>
  <c r="A35" i="143"/>
  <c r="A36" i="143"/>
  <c r="A37" i="143"/>
  <c r="A38" i="143"/>
  <c r="A39" i="143"/>
  <c r="A40" i="143"/>
  <c r="A41" i="143"/>
  <c r="A42" i="143"/>
  <c r="A43" i="143"/>
  <c r="E28" i="107"/>
  <c r="A29" i="107"/>
  <c r="E27" i="113"/>
  <c r="A28" i="113"/>
  <c r="P23" i="111"/>
  <c r="A5" i="120"/>
  <c r="D8" i="117"/>
  <c r="E8" i="117"/>
  <c r="F8" i="117"/>
  <c r="G8" i="117"/>
  <c r="H8" i="117"/>
  <c r="C8" i="117"/>
  <c r="D8" i="116"/>
  <c r="E8" i="116"/>
  <c r="F8" i="116"/>
  <c r="G8" i="116"/>
  <c r="H8" i="116"/>
  <c r="C8" i="116"/>
  <c r="D26" i="140"/>
  <c r="D8" i="120"/>
  <c r="E26" i="140"/>
  <c r="E8" i="120"/>
  <c r="F26" i="140"/>
  <c r="F8" i="120"/>
  <c r="G26" i="140"/>
  <c r="G8" i="120"/>
  <c r="H26" i="140"/>
  <c r="H8" i="120"/>
  <c r="C26" i="140"/>
  <c r="C8" i="120"/>
  <c r="D8" i="140"/>
  <c r="D8" i="119"/>
  <c r="E8" i="140"/>
  <c r="E8" i="119"/>
  <c r="F8" i="140"/>
  <c r="F8" i="119"/>
  <c r="G8" i="140"/>
  <c r="G8" i="119"/>
  <c r="H8" i="140"/>
  <c r="H8" i="119"/>
  <c r="C8" i="140"/>
  <c r="C8" i="119"/>
  <c r="I25" i="140"/>
  <c r="H25" i="140"/>
  <c r="G25" i="140"/>
  <c r="F25" i="140"/>
  <c r="E25" i="140"/>
  <c r="D25" i="140"/>
  <c r="C25" i="140"/>
  <c r="J11" i="140"/>
  <c r="J12" i="140"/>
  <c r="J13" i="140"/>
  <c r="J14" i="140"/>
  <c r="J15" i="140"/>
  <c r="J16" i="140"/>
  <c r="J17" i="140"/>
  <c r="J18" i="140"/>
  <c r="J19" i="140"/>
  <c r="J20" i="140"/>
  <c r="J21" i="140"/>
  <c r="J22" i="140"/>
  <c r="J28" i="140"/>
  <c r="J29" i="140"/>
  <c r="J30" i="140"/>
  <c r="J31" i="140"/>
  <c r="J32" i="140"/>
  <c r="J33" i="140"/>
  <c r="J34" i="140"/>
  <c r="J35" i="140"/>
  <c r="J36" i="140"/>
  <c r="J37" i="140"/>
  <c r="J38" i="140"/>
  <c r="J39" i="140"/>
  <c r="J40" i="140"/>
  <c r="A11" i="140"/>
  <c r="A12" i="140"/>
  <c r="A13" i="140"/>
  <c r="A14" i="140"/>
  <c r="A15" i="140"/>
  <c r="A16" i="140"/>
  <c r="A17" i="140"/>
  <c r="A18" i="140"/>
  <c r="A19" i="140"/>
  <c r="A20" i="140"/>
  <c r="A21" i="140"/>
  <c r="A22" i="140"/>
  <c r="A28" i="140"/>
  <c r="A29" i="140"/>
  <c r="A30" i="140"/>
  <c r="A31" i="140"/>
  <c r="A32" i="140"/>
  <c r="A33" i="140"/>
  <c r="A34" i="140"/>
  <c r="A35" i="140"/>
  <c r="A36" i="140"/>
  <c r="A37" i="140"/>
  <c r="A38" i="140"/>
  <c r="A39" i="140"/>
  <c r="A40" i="140"/>
  <c r="I25" i="139"/>
  <c r="H25" i="139"/>
  <c r="G25" i="139"/>
  <c r="F25" i="139"/>
  <c r="E25" i="139"/>
  <c r="D25" i="139"/>
  <c r="C25" i="139"/>
  <c r="J11" i="139"/>
  <c r="J12" i="139"/>
  <c r="J13" i="139"/>
  <c r="J14" i="139"/>
  <c r="J15" i="139"/>
  <c r="J16" i="139"/>
  <c r="J17" i="139"/>
  <c r="J18" i="139"/>
  <c r="J19" i="139"/>
  <c r="J20" i="139"/>
  <c r="J21" i="139"/>
  <c r="J22" i="139"/>
  <c r="J28" i="139"/>
  <c r="J29" i="139"/>
  <c r="J30" i="139"/>
  <c r="J31" i="139"/>
  <c r="J32" i="139"/>
  <c r="J33" i="139"/>
  <c r="J34" i="139"/>
  <c r="J35" i="139"/>
  <c r="J36" i="139"/>
  <c r="J37" i="139"/>
  <c r="J38" i="139"/>
  <c r="J39" i="139"/>
  <c r="J40" i="139"/>
  <c r="A11" i="139"/>
  <c r="A12" i="139"/>
  <c r="A13" i="139"/>
  <c r="A14" i="139"/>
  <c r="A15" i="139"/>
  <c r="A16" i="139"/>
  <c r="A17" i="139"/>
  <c r="A18" i="139"/>
  <c r="A19" i="139"/>
  <c r="A20" i="139"/>
  <c r="A21" i="139"/>
  <c r="A22" i="139"/>
  <c r="A28" i="139"/>
  <c r="A29" i="139"/>
  <c r="A30" i="139"/>
  <c r="A31" i="139"/>
  <c r="A32" i="139"/>
  <c r="A33" i="139"/>
  <c r="A34" i="139"/>
  <c r="A35" i="139"/>
  <c r="A36" i="139"/>
  <c r="A37" i="139"/>
  <c r="A38" i="139"/>
  <c r="A39" i="139"/>
  <c r="A40" i="139"/>
  <c r="A44" i="143"/>
  <c r="A45" i="143"/>
  <c r="A46" i="143"/>
  <c r="A47" i="143"/>
  <c r="A48" i="143"/>
  <c r="A49" i="143"/>
  <c r="A50" i="143"/>
  <c r="A28" i="144"/>
  <c r="E27" i="144"/>
  <c r="G49" i="143"/>
  <c r="G50" i="143"/>
  <c r="A30" i="107"/>
  <c r="E29" i="107"/>
  <c r="A29" i="113"/>
  <c r="E28" i="113"/>
  <c r="A5" i="119"/>
  <c r="A29" i="144"/>
  <c r="E28" i="144"/>
  <c r="E30" i="107"/>
  <c r="A31" i="107"/>
  <c r="A30" i="113"/>
  <c r="E29" i="113"/>
  <c r="A30" i="144"/>
  <c r="E29" i="144"/>
  <c r="A32" i="107"/>
  <c r="E31" i="107"/>
  <c r="E30" i="113"/>
  <c r="A31" i="113"/>
  <c r="E30" i="144"/>
  <c r="A31" i="144"/>
  <c r="E32" i="107"/>
  <c r="A33" i="107"/>
  <c r="A32" i="113"/>
  <c r="E31" i="113"/>
  <c r="A32" i="144"/>
  <c r="E31" i="144"/>
  <c r="A34" i="107"/>
  <c r="A35" i="107"/>
  <c r="E33" i="107"/>
  <c r="E34" i="107"/>
  <c r="E35" i="107"/>
  <c r="E32" i="113"/>
  <c r="A33" i="113"/>
  <c r="E32" i="144"/>
  <c r="A33" i="144"/>
  <c r="A34" i="113"/>
  <c r="E33" i="113"/>
  <c r="A34" i="144"/>
  <c r="E33" i="144"/>
  <c r="A35" i="113"/>
  <c r="E34" i="113"/>
  <c r="E35" i="113"/>
  <c r="A35" i="144"/>
  <c r="E34" i="144"/>
  <c r="E35" i="144"/>
  <c r="B3" i="17"/>
  <c r="Q9" i="108"/>
  <c r="Q10" i="108"/>
  <c r="Q11" i="108"/>
  <c r="Q12" i="108"/>
  <c r="Q13" i="108"/>
  <c r="Q14" i="108"/>
  <c r="Q15" i="108"/>
  <c r="E10" i="56"/>
  <c r="C15" i="79"/>
  <c r="E17" i="111"/>
  <c r="O9" i="56"/>
  <c r="A7" i="89"/>
  <c r="A8" i="89"/>
  <c r="N9" i="138"/>
  <c r="N13" i="138"/>
  <c r="F36" i="35"/>
  <c r="J28" i="117"/>
  <c r="D20" i="47"/>
  <c r="F33" i="79"/>
  <c r="F31" i="79"/>
  <c r="F29" i="79"/>
  <c r="F27" i="79"/>
  <c r="F25" i="79"/>
  <c r="F23" i="79"/>
  <c r="F21" i="79"/>
  <c r="F19" i="79"/>
  <c r="F17" i="79"/>
  <c r="F15" i="79"/>
  <c r="F13" i="79"/>
  <c r="D18" i="47"/>
  <c r="G15" i="35"/>
  <c r="G16" i="35"/>
  <c r="G17" i="35"/>
  <c r="G18" i="35"/>
  <c r="G19" i="35"/>
  <c r="G20" i="35"/>
  <c r="G21" i="35"/>
  <c r="G22" i="35"/>
  <c r="G23" i="35"/>
  <c r="G24" i="35"/>
  <c r="G14" i="35"/>
  <c r="F14" i="51"/>
  <c r="F15" i="51"/>
  <c r="F16" i="51"/>
  <c r="F17" i="51"/>
  <c r="F18" i="51"/>
  <c r="F19" i="51"/>
  <c r="F20" i="51"/>
  <c r="F21" i="51"/>
  <c r="F22" i="51"/>
  <c r="F23" i="51"/>
  <c r="F13" i="51"/>
  <c r="F14" i="24"/>
  <c r="F15" i="24"/>
  <c r="F16" i="24"/>
  <c r="F17" i="24"/>
  <c r="F18" i="24"/>
  <c r="F19" i="24"/>
  <c r="F20" i="24"/>
  <c r="F21" i="24"/>
  <c r="F22" i="24"/>
  <c r="F23" i="24"/>
  <c r="F13" i="24"/>
  <c r="A3" i="79"/>
  <c r="A3" i="143"/>
  <c r="A3" i="113"/>
  <c r="A3" i="107"/>
  <c r="A3" i="144"/>
  <c r="N58" i="111"/>
  <c r="M58" i="111"/>
  <c r="F61" i="111"/>
  <c r="K58" i="111"/>
  <c r="J58" i="111"/>
  <c r="N59" i="111"/>
  <c r="M59" i="111"/>
  <c r="K59" i="111"/>
  <c r="J59" i="111"/>
  <c r="I59" i="111"/>
  <c r="I61" i="111"/>
  <c r="H59" i="111"/>
  <c r="E59" i="111"/>
  <c r="D59" i="111"/>
  <c r="G59" i="111"/>
  <c r="L59" i="111"/>
  <c r="L61" i="111"/>
  <c r="M61" i="111"/>
  <c r="N61" i="111"/>
  <c r="J61" i="111"/>
  <c r="K61" i="111"/>
  <c r="B33" i="79"/>
  <c r="B31" i="79"/>
  <c r="B29" i="79"/>
  <c r="B27" i="79"/>
  <c r="B25" i="79"/>
  <c r="B23" i="79"/>
  <c r="B21" i="79"/>
  <c r="B19" i="79"/>
  <c r="B17" i="79"/>
  <c r="B15" i="79"/>
  <c r="B13" i="79"/>
  <c r="B11" i="79"/>
  <c r="B14" i="107"/>
  <c r="B14" i="144"/>
  <c r="B14" i="113"/>
  <c r="B12" i="113"/>
  <c r="B12" i="144"/>
  <c r="B12" i="107"/>
  <c r="B20" i="113"/>
  <c r="B20" i="107"/>
  <c r="B20" i="144"/>
  <c r="B28" i="113"/>
  <c r="B28" i="144"/>
  <c r="B28" i="107"/>
  <c r="B22" i="107"/>
  <c r="B22" i="144"/>
  <c r="B22" i="113"/>
  <c r="B30" i="107"/>
  <c r="B30" i="144"/>
  <c r="B30" i="113"/>
  <c r="B16" i="107"/>
  <c r="B16" i="144"/>
  <c r="B16" i="113"/>
  <c r="B24" i="107"/>
  <c r="B24" i="144"/>
  <c r="B24" i="113"/>
  <c r="B10" i="144"/>
  <c r="B10" i="113"/>
  <c r="B10" i="107"/>
  <c r="B18" i="144"/>
  <c r="B18" i="113"/>
  <c r="B18" i="107"/>
  <c r="B26" i="144"/>
  <c r="B26" i="113"/>
  <c r="B26" i="107"/>
  <c r="B8" i="107"/>
  <c r="B8" i="144"/>
  <c r="B8" i="113"/>
  <c r="B4" i="46"/>
  <c r="B3" i="147"/>
  <c r="J28" i="120"/>
  <c r="J27" i="120"/>
  <c r="I21" i="120"/>
  <c r="I13" i="120"/>
  <c r="I11" i="120"/>
  <c r="I17" i="120"/>
  <c r="I19" i="120"/>
  <c r="C28" i="120"/>
  <c r="C35" i="120"/>
  <c r="C39" i="120"/>
  <c r="C41" i="120"/>
  <c r="C43" i="120"/>
  <c r="C33" i="120"/>
  <c r="H28" i="120"/>
  <c r="F28" i="120"/>
  <c r="E28" i="120"/>
  <c r="D28" i="120"/>
  <c r="G28" i="120"/>
  <c r="K12" i="120"/>
  <c r="K13" i="120"/>
  <c r="K14" i="120"/>
  <c r="K15" i="120"/>
  <c r="K16" i="120"/>
  <c r="K17" i="120"/>
  <c r="K18" i="120"/>
  <c r="K19" i="120"/>
  <c r="K20" i="120"/>
  <c r="K21" i="120"/>
  <c r="K22" i="120"/>
  <c r="K23" i="120"/>
  <c r="K24" i="120"/>
  <c r="K25" i="120"/>
  <c r="A12" i="120"/>
  <c r="A13" i="120"/>
  <c r="A14" i="120"/>
  <c r="A15" i="120"/>
  <c r="A16" i="120"/>
  <c r="A17" i="120"/>
  <c r="A18" i="120"/>
  <c r="A19" i="120"/>
  <c r="A20" i="120"/>
  <c r="A21" i="120"/>
  <c r="A22" i="120"/>
  <c r="A23" i="120"/>
  <c r="A24" i="120"/>
  <c r="A25" i="120"/>
  <c r="F28" i="119"/>
  <c r="E28" i="119"/>
  <c r="J12" i="119"/>
  <c r="J13" i="119"/>
  <c r="J14" i="119"/>
  <c r="J15" i="119"/>
  <c r="J16" i="119"/>
  <c r="J17" i="119"/>
  <c r="J18" i="119"/>
  <c r="J19" i="119"/>
  <c r="J20" i="119"/>
  <c r="J21" i="119"/>
  <c r="J22" i="119"/>
  <c r="J23" i="119"/>
  <c r="J24" i="119"/>
  <c r="J25" i="119"/>
  <c r="A12" i="119"/>
  <c r="A13" i="119"/>
  <c r="A14" i="119"/>
  <c r="A15" i="119"/>
  <c r="A16" i="119"/>
  <c r="A17" i="119"/>
  <c r="A18" i="119"/>
  <c r="A19" i="119"/>
  <c r="A20" i="119"/>
  <c r="A21" i="119"/>
  <c r="A22" i="119"/>
  <c r="A23" i="119"/>
  <c r="A24" i="119"/>
  <c r="A25" i="119"/>
  <c r="F33" i="120"/>
  <c r="F35" i="120"/>
  <c r="F39" i="120"/>
  <c r="F43" i="120"/>
  <c r="F41" i="120"/>
  <c r="G41" i="120"/>
  <c r="G35" i="120"/>
  <c r="G43" i="120"/>
  <c r="G39" i="120"/>
  <c r="G33" i="120"/>
  <c r="H39" i="120"/>
  <c r="H33" i="120"/>
  <c r="H41" i="120"/>
  <c r="H35" i="120"/>
  <c r="H43" i="120"/>
  <c r="D41" i="120"/>
  <c r="D43" i="120"/>
  <c r="D39" i="120"/>
  <c r="D35" i="120"/>
  <c r="D33" i="120"/>
  <c r="E33" i="120"/>
  <c r="E41" i="120"/>
  <c r="E39" i="120"/>
  <c r="E35" i="120"/>
  <c r="E43" i="120"/>
  <c r="E35" i="119"/>
  <c r="E33" i="119"/>
  <c r="E43" i="119"/>
  <c r="E41" i="119"/>
  <c r="E39" i="119"/>
  <c r="F35" i="119"/>
  <c r="F43" i="119"/>
  <c r="F41" i="119"/>
  <c r="F39" i="119"/>
  <c r="F33" i="119"/>
  <c r="K26" i="120"/>
  <c r="K27" i="120"/>
  <c r="K28" i="120"/>
  <c r="A26" i="120"/>
  <c r="A27" i="120"/>
  <c r="A28" i="120"/>
  <c r="A26" i="119"/>
  <c r="A27" i="119"/>
  <c r="A28" i="119"/>
  <c r="J26" i="119"/>
  <c r="J27" i="119"/>
  <c r="J28" i="119"/>
  <c r="D28" i="119"/>
  <c r="H28" i="119"/>
  <c r="G28" i="119"/>
  <c r="A29" i="120"/>
  <c r="A30" i="120"/>
  <c r="A31" i="120"/>
  <c r="A32" i="120"/>
  <c r="A33" i="120"/>
  <c r="A34" i="120"/>
  <c r="A35" i="120"/>
  <c r="A36" i="120"/>
  <c r="A37" i="120"/>
  <c r="A38" i="120"/>
  <c r="A39" i="120"/>
  <c r="A40" i="120"/>
  <c r="A41" i="120"/>
  <c r="A42" i="120"/>
  <c r="A43" i="120"/>
  <c r="A44" i="120"/>
  <c r="A45" i="120"/>
  <c r="A29" i="119"/>
  <c r="A30" i="119"/>
  <c r="A31" i="119"/>
  <c r="A32" i="119"/>
  <c r="A33" i="119"/>
  <c r="A34" i="119"/>
  <c r="A35" i="119"/>
  <c r="A36" i="119"/>
  <c r="A37" i="119"/>
  <c r="A38" i="119"/>
  <c r="A39" i="119"/>
  <c r="A40" i="119"/>
  <c r="A41" i="119"/>
  <c r="A42" i="119"/>
  <c r="A43" i="119"/>
  <c r="A44" i="119"/>
  <c r="A45" i="119"/>
  <c r="K29" i="120"/>
  <c r="K30" i="120"/>
  <c r="K31" i="120"/>
  <c r="K32" i="120"/>
  <c r="K33" i="120"/>
  <c r="K34" i="120"/>
  <c r="K35" i="120"/>
  <c r="K36" i="120"/>
  <c r="K37" i="120"/>
  <c r="K38" i="120"/>
  <c r="K39" i="120"/>
  <c r="K40" i="120"/>
  <c r="K41" i="120"/>
  <c r="K42" i="120"/>
  <c r="K43" i="120"/>
  <c r="K44" i="120"/>
  <c r="K45" i="120"/>
  <c r="J29" i="119"/>
  <c r="J30" i="119"/>
  <c r="J31" i="119"/>
  <c r="J32" i="119"/>
  <c r="J33" i="119"/>
  <c r="J34" i="119"/>
  <c r="J35" i="119"/>
  <c r="J36" i="119"/>
  <c r="J37" i="119"/>
  <c r="J38" i="119"/>
  <c r="J39" i="119"/>
  <c r="J40" i="119"/>
  <c r="J41" i="119"/>
  <c r="J42" i="119"/>
  <c r="J43" i="119"/>
  <c r="J44" i="119"/>
  <c r="J45" i="119"/>
  <c r="D35" i="119"/>
  <c r="D43" i="119"/>
  <c r="D33" i="119"/>
  <c r="D39" i="119"/>
  <c r="D41" i="119"/>
  <c r="H33" i="119"/>
  <c r="H39" i="119"/>
  <c r="H43" i="119"/>
  <c r="H41" i="119"/>
  <c r="H35" i="119"/>
  <c r="G39" i="119"/>
  <c r="G35" i="119"/>
  <c r="G33" i="119"/>
  <c r="G43" i="119"/>
  <c r="G41" i="119"/>
  <c r="K12" i="117"/>
  <c r="K13" i="117"/>
  <c r="K14" i="117"/>
  <c r="K15" i="117"/>
  <c r="K16" i="117"/>
  <c r="K17" i="117"/>
  <c r="K18" i="117"/>
  <c r="K19" i="117"/>
  <c r="K20" i="117"/>
  <c r="K21" i="117"/>
  <c r="K22" i="117"/>
  <c r="K23" i="117"/>
  <c r="K24" i="117"/>
  <c r="K25" i="117"/>
  <c r="A12" i="117"/>
  <c r="A13" i="117"/>
  <c r="A14" i="117"/>
  <c r="A15" i="117"/>
  <c r="A16" i="117"/>
  <c r="A17" i="117"/>
  <c r="A18" i="117"/>
  <c r="A19" i="117"/>
  <c r="A20" i="117"/>
  <c r="A21" i="117"/>
  <c r="A22" i="117"/>
  <c r="A23" i="117"/>
  <c r="A24" i="117"/>
  <c r="A25" i="117"/>
  <c r="J12" i="116"/>
  <c r="J13" i="116"/>
  <c r="J14" i="116"/>
  <c r="J15" i="116"/>
  <c r="J16" i="116"/>
  <c r="J17" i="116"/>
  <c r="J18" i="116"/>
  <c r="J19" i="116"/>
  <c r="J20" i="116"/>
  <c r="J21" i="116"/>
  <c r="J22" i="116"/>
  <c r="J23" i="116"/>
  <c r="J24" i="116"/>
  <c r="J25" i="116"/>
  <c r="A12" i="116"/>
  <c r="A13" i="116"/>
  <c r="A14" i="116"/>
  <c r="A15" i="116"/>
  <c r="A16" i="116"/>
  <c r="A17" i="116"/>
  <c r="A18" i="116"/>
  <c r="A19" i="116"/>
  <c r="A20" i="116"/>
  <c r="A21" i="116"/>
  <c r="A22" i="116"/>
  <c r="A23" i="116"/>
  <c r="A24" i="116"/>
  <c r="A25" i="116"/>
  <c r="I15" i="114"/>
  <c r="I16" i="114"/>
  <c r="I17" i="114"/>
  <c r="I18" i="114"/>
  <c r="I19" i="114"/>
  <c r="I20" i="114"/>
  <c r="I21" i="114"/>
  <c r="I22" i="114"/>
  <c r="I23" i="114"/>
  <c r="I24" i="114"/>
  <c r="I25" i="114"/>
  <c r="I26" i="114"/>
  <c r="I27" i="114"/>
  <c r="A15" i="114"/>
  <c r="A16" i="114"/>
  <c r="A17" i="114"/>
  <c r="A18" i="114"/>
  <c r="A19" i="114"/>
  <c r="A20" i="114"/>
  <c r="A21" i="114"/>
  <c r="A22" i="114"/>
  <c r="A23" i="114"/>
  <c r="A24" i="114"/>
  <c r="A25" i="114"/>
  <c r="A26" i="114"/>
  <c r="A27" i="114"/>
  <c r="J26" i="116"/>
  <c r="J27" i="116"/>
  <c r="J28" i="116"/>
  <c r="K26" i="117"/>
  <c r="K27" i="117"/>
  <c r="K28" i="117"/>
  <c r="A26" i="117"/>
  <c r="A27" i="117"/>
  <c r="A28" i="117"/>
  <c r="A26" i="116"/>
  <c r="A27" i="116"/>
  <c r="A28" i="116"/>
  <c r="J29" i="116"/>
  <c r="J30" i="116"/>
  <c r="J31" i="116"/>
  <c r="J32" i="116"/>
  <c r="J33" i="116"/>
  <c r="J34" i="116"/>
  <c r="J35" i="116"/>
  <c r="J36" i="116"/>
  <c r="J37" i="116"/>
  <c r="J38" i="116"/>
  <c r="J39" i="116"/>
  <c r="J40" i="116"/>
  <c r="J41" i="116"/>
  <c r="J42" i="116"/>
  <c r="J43" i="116"/>
  <c r="J44" i="116"/>
  <c r="J45" i="116"/>
  <c r="A29" i="116"/>
  <c r="A30" i="116"/>
  <c r="A31" i="116"/>
  <c r="A32" i="116"/>
  <c r="A33" i="116"/>
  <c r="A34" i="116"/>
  <c r="A35" i="116"/>
  <c r="A36" i="116"/>
  <c r="A37" i="116"/>
  <c r="A38" i="116"/>
  <c r="A39" i="116"/>
  <c r="A40" i="116"/>
  <c r="A41" i="116"/>
  <c r="A42" i="116"/>
  <c r="A43" i="116"/>
  <c r="A44" i="116"/>
  <c r="A45" i="116"/>
  <c r="A29" i="117"/>
  <c r="A30" i="117"/>
  <c r="A31" i="117"/>
  <c r="A32" i="117"/>
  <c r="A33" i="117"/>
  <c r="A34" i="117"/>
  <c r="A35" i="117"/>
  <c r="A36" i="117"/>
  <c r="A37" i="117"/>
  <c r="A38" i="117"/>
  <c r="A39" i="117"/>
  <c r="A40" i="117"/>
  <c r="A41" i="117"/>
  <c r="A42" i="117"/>
  <c r="A43" i="117"/>
  <c r="A44" i="117"/>
  <c r="A45" i="117"/>
  <c r="K29" i="117"/>
  <c r="K30" i="117"/>
  <c r="K31" i="117"/>
  <c r="K32" i="117"/>
  <c r="K33" i="117"/>
  <c r="K34" i="117"/>
  <c r="K35" i="117"/>
  <c r="K36" i="117"/>
  <c r="K37" i="117"/>
  <c r="K38" i="117"/>
  <c r="K39" i="117"/>
  <c r="K40" i="117"/>
  <c r="K41" i="117"/>
  <c r="K42" i="117"/>
  <c r="K43" i="117"/>
  <c r="K44" i="117"/>
  <c r="K45" i="117"/>
  <c r="O62" i="111"/>
  <c r="N63" i="111"/>
  <c r="M63" i="111"/>
  <c r="L63" i="111"/>
  <c r="K63" i="111"/>
  <c r="J63" i="111"/>
  <c r="I63" i="111"/>
  <c r="F63" i="111"/>
  <c r="C63" i="111"/>
  <c r="O60" i="111"/>
  <c r="O59" i="111"/>
  <c r="H58" i="111"/>
  <c r="G58" i="111"/>
  <c r="G61" i="111"/>
  <c r="G63" i="111"/>
  <c r="E58" i="111"/>
  <c r="D58" i="111"/>
  <c r="C50" i="111"/>
  <c r="N44" i="111"/>
  <c r="M44" i="111"/>
  <c r="L44" i="111"/>
  <c r="K44" i="111"/>
  <c r="J44" i="111"/>
  <c r="I44" i="111"/>
  <c r="H44" i="111"/>
  <c r="G44" i="111"/>
  <c r="F44" i="111"/>
  <c r="E44" i="111"/>
  <c r="D44" i="111"/>
  <c r="C44" i="111"/>
  <c r="O36" i="111"/>
  <c r="N33" i="111"/>
  <c r="M33" i="111"/>
  <c r="L33" i="111"/>
  <c r="K33" i="111"/>
  <c r="J33" i="111"/>
  <c r="I33" i="111"/>
  <c r="H33" i="111"/>
  <c r="G33" i="111"/>
  <c r="F33" i="111"/>
  <c r="E33" i="111"/>
  <c r="D33" i="111"/>
  <c r="C33" i="111"/>
  <c r="N24" i="111"/>
  <c r="M24" i="111"/>
  <c r="L24" i="111"/>
  <c r="K24" i="111"/>
  <c r="J24" i="111"/>
  <c r="I24" i="111"/>
  <c r="H24" i="111"/>
  <c r="G24" i="111"/>
  <c r="F24" i="111"/>
  <c r="E24" i="111"/>
  <c r="D24" i="111"/>
  <c r="C24" i="111"/>
  <c r="O23" i="111"/>
  <c r="O24" i="111"/>
  <c r="C11" i="111"/>
  <c r="D11" i="111"/>
  <c r="E11" i="111"/>
  <c r="Q8" i="111"/>
  <c r="Q9" i="111"/>
  <c r="Q10" i="111"/>
  <c r="Q11" i="111"/>
  <c r="Q12" i="111"/>
  <c r="Q13" i="111"/>
  <c r="Q14" i="111"/>
  <c r="Q15" i="111"/>
  <c r="Q16" i="111"/>
  <c r="Q17" i="111"/>
  <c r="Q18" i="111"/>
  <c r="Q19" i="111"/>
  <c r="Q20" i="111"/>
  <c r="Q21" i="111"/>
  <c r="Q22" i="111"/>
  <c r="Q23" i="111"/>
  <c r="Q24" i="111"/>
  <c r="Q25" i="111"/>
  <c r="Q26" i="111"/>
  <c r="Q27" i="111"/>
  <c r="Q28" i="111"/>
  <c r="Q29" i="111"/>
  <c r="Q30" i="111"/>
  <c r="Q31" i="111"/>
  <c r="Q32" i="111"/>
  <c r="Q33" i="111"/>
  <c r="Q34" i="111"/>
  <c r="A8" i="111"/>
  <c r="A9" i="111"/>
  <c r="A10" i="111"/>
  <c r="A11" i="111"/>
  <c r="A12" i="111"/>
  <c r="A13" i="111"/>
  <c r="A14" i="111"/>
  <c r="A15" i="111"/>
  <c r="A16" i="111"/>
  <c r="A17" i="111"/>
  <c r="A18" i="111"/>
  <c r="A19" i="111"/>
  <c r="A20" i="111"/>
  <c r="A21" i="111"/>
  <c r="A22" i="111"/>
  <c r="A23" i="111"/>
  <c r="A24" i="111"/>
  <c r="A25" i="111"/>
  <c r="A26" i="111"/>
  <c r="A27" i="111"/>
  <c r="A28" i="111"/>
  <c r="A29" i="111"/>
  <c r="A30" i="111"/>
  <c r="A31" i="111"/>
  <c r="A32" i="111"/>
  <c r="A33" i="111"/>
  <c r="A34" i="111"/>
  <c r="O7" i="111"/>
  <c r="H61" i="111"/>
  <c r="H63" i="111"/>
  <c r="D61" i="111"/>
  <c r="D63" i="111"/>
  <c r="E61" i="111"/>
  <c r="C51" i="111"/>
  <c r="Q35" i="111"/>
  <c r="Q36" i="111"/>
  <c r="Q37" i="111"/>
  <c r="Q38" i="111"/>
  <c r="A35" i="111"/>
  <c r="A36" i="111"/>
  <c r="A37" i="111"/>
  <c r="A38" i="111"/>
  <c r="J11" i="111"/>
  <c r="K11" i="111"/>
  <c r="L11" i="111"/>
  <c r="M11" i="111"/>
  <c r="N11" i="111"/>
  <c r="O61" i="111"/>
  <c r="A39" i="111"/>
  <c r="A40" i="111"/>
  <c r="A41" i="111"/>
  <c r="A42" i="111"/>
  <c r="A43" i="111"/>
  <c r="A44" i="111"/>
  <c r="Q39" i="111"/>
  <c r="Q40" i="111"/>
  <c r="Q41" i="111"/>
  <c r="Q42" i="111"/>
  <c r="Q43" i="111"/>
  <c r="Q44" i="111"/>
  <c r="E63" i="111"/>
  <c r="O63" i="111"/>
  <c r="P9" i="108"/>
  <c r="P15" i="108"/>
  <c r="P7" i="108"/>
  <c r="N19" i="56"/>
  <c r="C30" i="107" s="1"/>
  <c r="M19" i="56"/>
  <c r="C28" i="107"/>
  <c r="L19" i="56"/>
  <c r="C26" i="107"/>
  <c r="K19" i="56"/>
  <c r="C24" i="107"/>
  <c r="J19" i="56"/>
  <c r="C22" i="107"/>
  <c r="I19" i="56"/>
  <c r="C20" i="107"/>
  <c r="F19" i="56"/>
  <c r="C14" i="107"/>
  <c r="E19" i="56"/>
  <c r="C12" i="107"/>
  <c r="D19" i="56"/>
  <c r="C10" i="107"/>
  <c r="C19" i="56"/>
  <c r="C8" i="107"/>
  <c r="N20" i="108"/>
  <c r="M20" i="108"/>
  <c r="L20" i="108"/>
  <c r="K20" i="108"/>
  <c r="J20" i="108"/>
  <c r="G20" i="108"/>
  <c r="F20" i="108"/>
  <c r="E20" i="108"/>
  <c r="D20" i="108"/>
  <c r="P11" i="108"/>
  <c r="G19" i="56"/>
  <c r="C16" i="107" s="1"/>
  <c r="L20" i="111"/>
  <c r="M21" i="108"/>
  <c r="C20" i="111"/>
  <c r="E20" i="111"/>
  <c r="F21" i="108"/>
  <c r="F20" i="111"/>
  <c r="G21" i="108"/>
  <c r="D20" i="111"/>
  <c r="E21" i="108" s="1"/>
  <c r="E22" i="108" s="1"/>
  <c r="I20" i="111"/>
  <c r="J20" i="111"/>
  <c r="K21" i="108"/>
  <c r="M20" i="111"/>
  <c r="N21" i="108" s="1"/>
  <c r="N22" i="108" s="1"/>
  <c r="K20" i="111"/>
  <c r="L21" i="108"/>
  <c r="L22" i="108" s="1"/>
  <c r="H20" i="108"/>
  <c r="G20" i="111"/>
  <c r="H21" i="108" s="1"/>
  <c r="H22" i="108" s="1"/>
  <c r="O43" i="97"/>
  <c r="N30" i="97"/>
  <c r="N43" i="97"/>
  <c r="M30" i="97"/>
  <c r="M43" i="97"/>
  <c r="L30" i="97"/>
  <c r="L43" i="97"/>
  <c r="K30" i="97"/>
  <c r="K43" i="97"/>
  <c r="J30" i="97"/>
  <c r="J43" i="97"/>
  <c r="I30" i="97"/>
  <c r="I43" i="97"/>
  <c r="H30" i="97"/>
  <c r="H43" i="97"/>
  <c r="G30" i="97"/>
  <c r="G43" i="97"/>
  <c r="F30" i="97"/>
  <c r="F43" i="97"/>
  <c r="E30" i="97"/>
  <c r="E43" i="97"/>
  <c r="D30" i="97"/>
  <c r="D43" i="97"/>
  <c r="C30" i="97"/>
  <c r="C43" i="97"/>
  <c r="B28" i="97"/>
  <c r="P5" i="97"/>
  <c r="P6" i="97"/>
  <c r="P7" i="97"/>
  <c r="P8" i="97"/>
  <c r="A5" i="97"/>
  <c r="A6" i="97"/>
  <c r="A7" i="97"/>
  <c r="A8" i="97"/>
  <c r="N47" i="97"/>
  <c r="M47" i="97"/>
  <c r="L47" i="97"/>
  <c r="K47" i="97"/>
  <c r="J47" i="97"/>
  <c r="I47" i="97"/>
  <c r="H47" i="97"/>
  <c r="G47" i="97"/>
  <c r="F47" i="97"/>
  <c r="E47" i="97"/>
  <c r="D47" i="97"/>
  <c r="C47" i="97"/>
  <c r="N46" i="97"/>
  <c r="K46" i="97"/>
  <c r="J46" i="97"/>
  <c r="I46" i="97"/>
  <c r="H23" i="97"/>
  <c r="G46" i="97"/>
  <c r="F46" i="97"/>
  <c r="D23" i="97"/>
  <c r="C46" i="97"/>
  <c r="M45" i="97"/>
  <c r="L45" i="97"/>
  <c r="K45" i="97"/>
  <c r="I45" i="97"/>
  <c r="H45" i="97"/>
  <c r="E45" i="97"/>
  <c r="D45" i="97"/>
  <c r="O18" i="97"/>
  <c r="N18" i="97"/>
  <c r="M18" i="97"/>
  <c r="L18" i="97"/>
  <c r="K18" i="97"/>
  <c r="J18" i="97"/>
  <c r="I18" i="97"/>
  <c r="H18" i="97"/>
  <c r="G18" i="97"/>
  <c r="F18" i="97"/>
  <c r="E18" i="97"/>
  <c r="D18" i="97"/>
  <c r="C18" i="97"/>
  <c r="N47" i="96"/>
  <c r="M47" i="96"/>
  <c r="L47" i="96"/>
  <c r="K47" i="96"/>
  <c r="J47" i="96"/>
  <c r="I47" i="96"/>
  <c r="H47" i="96"/>
  <c r="G47" i="96"/>
  <c r="F47" i="96"/>
  <c r="E47" i="96"/>
  <c r="D47" i="96"/>
  <c r="C47" i="96"/>
  <c r="N46" i="96"/>
  <c r="N48" i="96" s="1"/>
  <c r="N33" i="96" s="1"/>
  <c r="M46" i="96"/>
  <c r="L46" i="96"/>
  <c r="L48" i="96" s="1"/>
  <c r="L33" i="96" s="1"/>
  <c r="K46" i="96"/>
  <c r="J46" i="96"/>
  <c r="I46" i="96"/>
  <c r="H46" i="96"/>
  <c r="G46" i="96"/>
  <c r="G48" i="96" s="1"/>
  <c r="G33" i="96" s="1"/>
  <c r="G39" i="96" s="1"/>
  <c r="C16" i="24" s="1"/>
  <c r="F46" i="96"/>
  <c r="E46" i="96"/>
  <c r="D46" i="96"/>
  <c r="C46" i="96"/>
  <c r="N45" i="96"/>
  <c r="M45" i="96"/>
  <c r="L45" i="96"/>
  <c r="K45" i="96"/>
  <c r="J45" i="96"/>
  <c r="J48" i="96" s="1"/>
  <c r="J33" i="96" s="1"/>
  <c r="I45" i="96"/>
  <c r="H45" i="96"/>
  <c r="G45" i="96"/>
  <c r="F45" i="96"/>
  <c r="F48" i="96" s="1"/>
  <c r="F33" i="96" s="1"/>
  <c r="E45" i="96"/>
  <c r="O45" i="96" s="1"/>
  <c r="D45" i="96"/>
  <c r="C45" i="96"/>
  <c r="O43" i="96"/>
  <c r="N38" i="96"/>
  <c r="M38" i="96"/>
  <c r="L38" i="96"/>
  <c r="K38" i="96"/>
  <c r="J38" i="96"/>
  <c r="I38" i="96"/>
  <c r="H38" i="96"/>
  <c r="G38" i="96"/>
  <c r="F38" i="96"/>
  <c r="D15" i="24" s="1"/>
  <c r="E38" i="96"/>
  <c r="D38" i="96"/>
  <c r="C38" i="96"/>
  <c r="N37" i="96"/>
  <c r="M37" i="96"/>
  <c r="L37" i="96"/>
  <c r="K37" i="96"/>
  <c r="J37" i="96"/>
  <c r="I37" i="96"/>
  <c r="H37" i="96"/>
  <c r="G37" i="96"/>
  <c r="F37" i="96"/>
  <c r="E37" i="96"/>
  <c r="D37" i="96"/>
  <c r="C37" i="96"/>
  <c r="N36" i="96"/>
  <c r="M36" i="96"/>
  <c r="L36" i="96"/>
  <c r="K36" i="96"/>
  <c r="J36" i="96"/>
  <c r="I36" i="96"/>
  <c r="H36" i="96"/>
  <c r="G36" i="96"/>
  <c r="F36" i="96"/>
  <c r="E36" i="96"/>
  <c r="D36" i="96"/>
  <c r="C36" i="96"/>
  <c r="N35" i="96"/>
  <c r="O35" i="96" s="1"/>
  <c r="M35" i="96"/>
  <c r="L35" i="96"/>
  <c r="K35" i="96"/>
  <c r="J35" i="96"/>
  <c r="I35" i="96"/>
  <c r="H35" i="96"/>
  <c r="G35" i="96"/>
  <c r="F35" i="96"/>
  <c r="E35" i="96"/>
  <c r="D35" i="96"/>
  <c r="C35" i="96"/>
  <c r="N32" i="96"/>
  <c r="M32" i="96"/>
  <c r="L32" i="96"/>
  <c r="K32" i="96"/>
  <c r="J32" i="96"/>
  <c r="I32" i="96"/>
  <c r="H32" i="96"/>
  <c r="G32" i="96"/>
  <c r="F32" i="96"/>
  <c r="E32" i="96"/>
  <c r="D32" i="96"/>
  <c r="C32" i="96"/>
  <c r="N31" i="96"/>
  <c r="M31" i="96"/>
  <c r="L31" i="96"/>
  <c r="K31" i="96"/>
  <c r="J31" i="96"/>
  <c r="I31" i="96"/>
  <c r="H31" i="96"/>
  <c r="G31" i="96"/>
  <c r="F31" i="96"/>
  <c r="E31" i="96"/>
  <c r="D31" i="96"/>
  <c r="C31" i="96"/>
  <c r="N30" i="96"/>
  <c r="N43" i="96" s="1"/>
  <c r="M30" i="96"/>
  <c r="M43" i="96"/>
  <c r="L30" i="96"/>
  <c r="L43" i="96" s="1"/>
  <c r="K30" i="96"/>
  <c r="K43" i="96" s="1"/>
  <c r="J30" i="96"/>
  <c r="J43" i="96"/>
  <c r="I30" i="96"/>
  <c r="I43" i="96" s="1"/>
  <c r="H30" i="96"/>
  <c r="H43" i="96" s="1"/>
  <c r="G30" i="96"/>
  <c r="G43" i="96" s="1"/>
  <c r="F30" i="96"/>
  <c r="F43" i="96" s="1"/>
  <c r="E30" i="96"/>
  <c r="E43" i="96" s="1"/>
  <c r="D30" i="96"/>
  <c r="D43" i="96"/>
  <c r="C30" i="96"/>
  <c r="C43" i="96"/>
  <c r="B28" i="96"/>
  <c r="P5" i="96"/>
  <c r="P6" i="96" s="1"/>
  <c r="P7" i="96" s="1"/>
  <c r="P8" i="96" s="1"/>
  <c r="P9" i="96" s="1"/>
  <c r="P10" i="96" s="1"/>
  <c r="A5" i="96"/>
  <c r="A6" i="96" s="1"/>
  <c r="A7" i="96" s="1"/>
  <c r="A8" i="96" s="1"/>
  <c r="N23" i="96"/>
  <c r="M23" i="96"/>
  <c r="L23" i="96"/>
  <c r="K23" i="96"/>
  <c r="J23" i="96"/>
  <c r="I23" i="96"/>
  <c r="H23" i="96"/>
  <c r="G23" i="96"/>
  <c r="F23" i="96"/>
  <c r="E23" i="96"/>
  <c r="D23" i="96"/>
  <c r="C23" i="96"/>
  <c r="O22" i="96"/>
  <c r="O21" i="96"/>
  <c r="O20" i="96"/>
  <c r="O18" i="96"/>
  <c r="N18" i="96"/>
  <c r="M18" i="96"/>
  <c r="L18" i="96"/>
  <c r="K18" i="96"/>
  <c r="J18" i="96"/>
  <c r="I18" i="96"/>
  <c r="H18" i="96"/>
  <c r="G18" i="96"/>
  <c r="F18" i="96"/>
  <c r="E18" i="96"/>
  <c r="D18" i="96"/>
  <c r="C18" i="96"/>
  <c r="O13" i="96"/>
  <c r="O12" i="96"/>
  <c r="O11" i="96"/>
  <c r="O7" i="96"/>
  <c r="O6" i="96"/>
  <c r="G12" i="79"/>
  <c r="G13" i="79"/>
  <c r="G14" i="79"/>
  <c r="G15" i="79"/>
  <c r="G16" i="79"/>
  <c r="G17" i="79"/>
  <c r="G18" i="79"/>
  <c r="G19" i="79"/>
  <c r="G20" i="79"/>
  <c r="G21" i="79"/>
  <c r="G22" i="79"/>
  <c r="G23" i="79"/>
  <c r="G24" i="79"/>
  <c r="G25" i="79"/>
  <c r="G26" i="79"/>
  <c r="G27" i="79"/>
  <c r="G28" i="79"/>
  <c r="G29" i="79"/>
  <c r="G30" i="79"/>
  <c r="G31" i="79"/>
  <c r="G32" i="79"/>
  <c r="G33" i="79"/>
  <c r="G34" i="79"/>
  <c r="G35" i="79"/>
  <c r="G36" i="79"/>
  <c r="G37" i="79"/>
  <c r="G38" i="79"/>
  <c r="A12" i="79"/>
  <c r="A13" i="79"/>
  <c r="A14" i="79"/>
  <c r="A15" i="79"/>
  <c r="A16" i="79"/>
  <c r="A17" i="79"/>
  <c r="A18" i="79"/>
  <c r="A19" i="79"/>
  <c r="A20" i="79"/>
  <c r="A21" i="79"/>
  <c r="A22" i="79"/>
  <c r="A23" i="79"/>
  <c r="A24" i="79"/>
  <c r="A25" i="79"/>
  <c r="A26" i="79"/>
  <c r="A27" i="79"/>
  <c r="A28" i="79"/>
  <c r="A29" i="79"/>
  <c r="A30" i="79"/>
  <c r="A31" i="79"/>
  <c r="A32" i="79"/>
  <c r="A33" i="79"/>
  <c r="A34" i="79"/>
  <c r="A35" i="79"/>
  <c r="A36" i="79"/>
  <c r="A37" i="79"/>
  <c r="A38" i="79"/>
  <c r="Q8" i="56"/>
  <c r="A8" i="56"/>
  <c r="N5" i="56"/>
  <c r="M5" i="56"/>
  <c r="L5" i="56"/>
  <c r="K5" i="56"/>
  <c r="J5" i="56"/>
  <c r="I5" i="56"/>
  <c r="H5" i="56"/>
  <c r="G5" i="56"/>
  <c r="F5" i="56"/>
  <c r="E5" i="56"/>
  <c r="D5" i="56"/>
  <c r="P9" i="97"/>
  <c r="P10" i="97"/>
  <c r="P11" i="97"/>
  <c r="P12" i="97"/>
  <c r="P13" i="97"/>
  <c r="P14" i="97"/>
  <c r="P15" i="97"/>
  <c r="P16" i="97"/>
  <c r="P17" i="97"/>
  <c r="P18" i="97"/>
  <c r="P19" i="97"/>
  <c r="P20" i="97"/>
  <c r="P21" i="97"/>
  <c r="P22" i="97"/>
  <c r="P23" i="97"/>
  <c r="P24" i="97"/>
  <c r="P29" i="97"/>
  <c r="P30" i="97"/>
  <c r="P31" i="97"/>
  <c r="P32" i="97"/>
  <c r="P33" i="97"/>
  <c r="P36" i="97"/>
  <c r="P37" i="97"/>
  <c r="P38" i="97"/>
  <c r="P39" i="97"/>
  <c r="P40" i="97"/>
  <c r="P41" i="97"/>
  <c r="P42" i="97"/>
  <c r="P43" i="97"/>
  <c r="P44" i="97"/>
  <c r="P45" i="97"/>
  <c r="P46" i="97"/>
  <c r="P47" i="97"/>
  <c r="P48" i="97"/>
  <c r="P49" i="97"/>
  <c r="A9" i="97"/>
  <c r="A10" i="97"/>
  <c r="A11" i="97"/>
  <c r="A12" i="97"/>
  <c r="A13" i="97"/>
  <c r="A14" i="97"/>
  <c r="A15" i="97"/>
  <c r="A16" i="97"/>
  <c r="A17" i="97"/>
  <c r="A18" i="97"/>
  <c r="A19" i="97"/>
  <c r="A20" i="97"/>
  <c r="A21" i="97"/>
  <c r="A22" i="97"/>
  <c r="A23" i="97"/>
  <c r="A24" i="97"/>
  <c r="A29" i="97"/>
  <c r="A30" i="97"/>
  <c r="A31" i="97"/>
  <c r="A32" i="97"/>
  <c r="A33" i="97"/>
  <c r="A36" i="97"/>
  <c r="A37" i="97"/>
  <c r="A38" i="97"/>
  <c r="A39" i="97"/>
  <c r="A40" i="97"/>
  <c r="A41" i="97"/>
  <c r="A42" i="97"/>
  <c r="A43" i="97"/>
  <c r="A44" i="97"/>
  <c r="A45" i="97"/>
  <c r="A46" i="97"/>
  <c r="A47" i="97"/>
  <c r="A48" i="97"/>
  <c r="A49" i="97"/>
  <c r="D15" i="116"/>
  <c r="D15" i="119"/>
  <c r="D37" i="119"/>
  <c r="D14" i="140"/>
  <c r="H15" i="119"/>
  <c r="H37" i="119"/>
  <c r="H14" i="140"/>
  <c r="H15" i="116"/>
  <c r="F16" i="96"/>
  <c r="J14" i="96"/>
  <c r="N16" i="96"/>
  <c r="C14" i="96"/>
  <c r="D14" i="96"/>
  <c r="H14" i="96"/>
  <c r="L16" i="96"/>
  <c r="Q9" i="56"/>
  <c r="Q10" i="56"/>
  <c r="Q11" i="56"/>
  <c r="Q12" i="56"/>
  <c r="Q13" i="56"/>
  <c r="Q14" i="56"/>
  <c r="Q15" i="56"/>
  <c r="Q16" i="56"/>
  <c r="Q17" i="56"/>
  <c r="Q18" i="56"/>
  <c r="Q19" i="56"/>
  <c r="Q20" i="56"/>
  <c r="A9" i="56"/>
  <c r="A10" i="56"/>
  <c r="A11" i="56"/>
  <c r="A12" i="56"/>
  <c r="A13" i="56"/>
  <c r="A14" i="56"/>
  <c r="A15" i="56"/>
  <c r="G31" i="97"/>
  <c r="C32" i="97"/>
  <c r="C12" i="140"/>
  <c r="K32" i="97"/>
  <c r="E30" i="140"/>
  <c r="N35" i="97"/>
  <c r="H34" i="140"/>
  <c r="N36" i="97"/>
  <c r="H36" i="140"/>
  <c r="N37" i="97"/>
  <c r="H38" i="140"/>
  <c r="F31" i="97"/>
  <c r="J31" i="97"/>
  <c r="N31" i="97"/>
  <c r="F32" i="97"/>
  <c r="F12" i="140"/>
  <c r="J32" i="97"/>
  <c r="D30" i="140"/>
  <c r="N32" i="97"/>
  <c r="H30" i="140"/>
  <c r="E35" i="97"/>
  <c r="E16" i="140"/>
  <c r="I35" i="97"/>
  <c r="C34" i="140"/>
  <c r="M35" i="97"/>
  <c r="G34" i="140"/>
  <c r="E36" i="97"/>
  <c r="E18" i="140"/>
  <c r="I36" i="97"/>
  <c r="C36" i="140"/>
  <c r="M36" i="97"/>
  <c r="G36" i="140"/>
  <c r="E37" i="97"/>
  <c r="E20" i="140"/>
  <c r="I37" i="97"/>
  <c r="C38" i="140"/>
  <c r="M37" i="97"/>
  <c r="G38" i="140"/>
  <c r="C31" i="97"/>
  <c r="G32" i="97"/>
  <c r="G12" i="140"/>
  <c r="J35" i="97"/>
  <c r="D34" i="140"/>
  <c r="F36" i="97"/>
  <c r="F18" i="140"/>
  <c r="F37" i="97"/>
  <c r="F20" i="140"/>
  <c r="D32" i="97"/>
  <c r="D12" i="140"/>
  <c r="H32" i="97"/>
  <c r="H12" i="140"/>
  <c r="L32" i="97"/>
  <c r="F30" i="140"/>
  <c r="C16" i="140"/>
  <c r="G35" i="97"/>
  <c r="G16" i="140"/>
  <c r="K35" i="97"/>
  <c r="E34" i="140"/>
  <c r="C36" i="97"/>
  <c r="C18" i="140"/>
  <c r="G36" i="97"/>
  <c r="G18" i="140"/>
  <c r="K36" i="97"/>
  <c r="E36" i="140"/>
  <c r="C37" i="97"/>
  <c r="C20" i="140"/>
  <c r="G37" i="97"/>
  <c r="G20" i="140"/>
  <c r="K37" i="97"/>
  <c r="E38" i="140"/>
  <c r="K31" i="97"/>
  <c r="F35" i="97"/>
  <c r="F16" i="140"/>
  <c r="J36" i="97"/>
  <c r="D36" i="140"/>
  <c r="J37" i="97"/>
  <c r="D38" i="140"/>
  <c r="I31" i="97"/>
  <c r="E32" i="97"/>
  <c r="E12" i="140"/>
  <c r="I32" i="97"/>
  <c r="C30" i="140"/>
  <c r="M32" i="97"/>
  <c r="G30" i="140"/>
  <c r="D35" i="97"/>
  <c r="D16" i="140"/>
  <c r="H35" i="97"/>
  <c r="H16" i="140"/>
  <c r="L35" i="97"/>
  <c r="F34" i="140"/>
  <c r="D36" i="97"/>
  <c r="D18" i="140"/>
  <c r="H36" i="97"/>
  <c r="H18" i="140"/>
  <c r="L36" i="97"/>
  <c r="F36" i="140"/>
  <c r="D37" i="97"/>
  <c r="D20" i="140"/>
  <c r="H37" i="97"/>
  <c r="H20" i="140"/>
  <c r="L37" i="97"/>
  <c r="F38" i="140"/>
  <c r="I18" i="111"/>
  <c r="M18" i="111"/>
  <c r="F18" i="111"/>
  <c r="N18" i="111"/>
  <c r="C18" i="111"/>
  <c r="G18" i="111"/>
  <c r="K18" i="111"/>
  <c r="E18" i="111"/>
  <c r="J18" i="111"/>
  <c r="D18" i="111"/>
  <c r="H18" i="111"/>
  <c r="L18" i="111"/>
  <c r="C48" i="96"/>
  <c r="C33" i="96" s="1"/>
  <c r="L23" i="97"/>
  <c r="D35" i="79"/>
  <c r="D37" i="79"/>
  <c r="D22" i="143"/>
  <c r="D26" i="143"/>
  <c r="O10" i="97"/>
  <c r="O11" i="97"/>
  <c r="O20" i="97"/>
  <c r="H16" i="97"/>
  <c r="I23" i="97"/>
  <c r="C45" i="97"/>
  <c r="C48" i="97"/>
  <c r="C33" i="97"/>
  <c r="F23" i="97"/>
  <c r="J23" i="97"/>
  <c r="N23" i="97"/>
  <c r="E23" i="97"/>
  <c r="I48" i="97"/>
  <c r="I33" i="97"/>
  <c r="M23" i="97"/>
  <c r="G16" i="96"/>
  <c r="G14" i="96"/>
  <c r="K16" i="96"/>
  <c r="K14" i="96"/>
  <c r="F14" i="96"/>
  <c r="N14" i="96"/>
  <c r="K48" i="96"/>
  <c r="K33" i="96" s="1"/>
  <c r="O47" i="97"/>
  <c r="O22" i="97"/>
  <c r="K48" i="97"/>
  <c r="K33" i="97"/>
  <c r="D46" i="97"/>
  <c r="D48" i="97"/>
  <c r="D33" i="97"/>
  <c r="L46" i="97"/>
  <c r="L48" i="97"/>
  <c r="L33" i="97"/>
  <c r="G23" i="97"/>
  <c r="D31" i="97"/>
  <c r="L31" i="97"/>
  <c r="C35" i="97"/>
  <c r="F45" i="97"/>
  <c r="F48" i="97"/>
  <c r="F33" i="97"/>
  <c r="N45" i="97"/>
  <c r="N48" i="97"/>
  <c r="N33" i="97"/>
  <c r="E46" i="97"/>
  <c r="E48" i="97"/>
  <c r="E33" i="97"/>
  <c r="M46" i="97"/>
  <c r="M48" i="97"/>
  <c r="M33" i="97"/>
  <c r="D16" i="97"/>
  <c r="E31" i="97"/>
  <c r="M31" i="97"/>
  <c r="G45" i="97"/>
  <c r="G48" i="97"/>
  <c r="G33" i="97"/>
  <c r="H46" i="97"/>
  <c r="H48" i="97"/>
  <c r="H33" i="97"/>
  <c r="O7" i="97"/>
  <c r="C23" i="97"/>
  <c r="K23" i="97"/>
  <c r="H31" i="97"/>
  <c r="J45" i="97"/>
  <c r="J48" i="97"/>
  <c r="J33" i="97"/>
  <c r="O12" i="97"/>
  <c r="O6" i="97"/>
  <c r="O21" i="97"/>
  <c r="E14" i="96"/>
  <c r="E16" i="96"/>
  <c r="I14" i="96"/>
  <c r="I16" i="96"/>
  <c r="M14" i="96"/>
  <c r="M16" i="96"/>
  <c r="O13" i="56"/>
  <c r="E12" i="17"/>
  <c r="D19" i="32"/>
  <c r="C15" i="116"/>
  <c r="C15" i="119"/>
  <c r="F15" i="119"/>
  <c r="F37" i="119"/>
  <c r="F14" i="140"/>
  <c r="F15" i="116"/>
  <c r="E15" i="119"/>
  <c r="E37" i="119"/>
  <c r="E14" i="140"/>
  <c r="E15" i="116"/>
  <c r="H15" i="120"/>
  <c r="H15" i="117"/>
  <c r="C15" i="117"/>
  <c r="C23" i="117"/>
  <c r="C15" i="120"/>
  <c r="F15" i="120"/>
  <c r="F37" i="120"/>
  <c r="F32" i="140"/>
  <c r="F15" i="117"/>
  <c r="F23" i="117"/>
  <c r="E15" i="120"/>
  <c r="E37" i="120"/>
  <c r="E32" i="140"/>
  <c r="E15" i="117"/>
  <c r="G15" i="119"/>
  <c r="G37" i="119"/>
  <c r="G14" i="140"/>
  <c r="G15" i="116"/>
  <c r="G15" i="120"/>
  <c r="G37" i="120"/>
  <c r="G32" i="140"/>
  <c r="G15" i="117"/>
  <c r="D15" i="120"/>
  <c r="D15" i="117"/>
  <c r="I38" i="140"/>
  <c r="D24" i="114"/>
  <c r="L14" i="96"/>
  <c r="I36" i="140"/>
  <c r="D22" i="114"/>
  <c r="I34" i="140"/>
  <c r="D20" i="114"/>
  <c r="I30" i="140"/>
  <c r="D16" i="114"/>
  <c r="D16" i="96"/>
  <c r="H16" i="96"/>
  <c r="C16" i="96"/>
  <c r="J16" i="96"/>
  <c r="O8" i="96"/>
  <c r="F16" i="97"/>
  <c r="K16" i="97"/>
  <c r="J16" i="97"/>
  <c r="N41" i="97"/>
  <c r="O32" i="97"/>
  <c r="O37" i="97"/>
  <c r="O36" i="97"/>
  <c r="I21" i="117"/>
  <c r="K41" i="97"/>
  <c r="C16" i="97"/>
  <c r="O35" i="97"/>
  <c r="L16" i="97"/>
  <c r="C28" i="140"/>
  <c r="E28" i="140"/>
  <c r="H10" i="140"/>
  <c r="H22" i="140"/>
  <c r="H23" i="119"/>
  <c r="D28" i="140"/>
  <c r="G28" i="140"/>
  <c r="I43" i="120"/>
  <c r="I19" i="117"/>
  <c r="I17" i="117"/>
  <c r="F28" i="140"/>
  <c r="D10" i="140"/>
  <c r="D22" i="140"/>
  <c r="D23" i="119"/>
  <c r="I11" i="117"/>
  <c r="I13" i="117"/>
  <c r="G10" i="140"/>
  <c r="I16" i="97"/>
  <c r="D23" i="116"/>
  <c r="H28" i="140"/>
  <c r="N16" i="97"/>
  <c r="E10" i="140"/>
  <c r="I41" i="120"/>
  <c r="I39" i="120"/>
  <c r="H23" i="116"/>
  <c r="C10" i="140"/>
  <c r="F10" i="140"/>
  <c r="I35" i="120"/>
  <c r="D10" i="56"/>
  <c r="J10" i="56"/>
  <c r="K10" i="56"/>
  <c r="I10" i="56"/>
  <c r="G10" i="56"/>
  <c r="M10" i="56"/>
  <c r="C31" i="79" s="1"/>
  <c r="N10" i="56"/>
  <c r="C33" i="79" s="1"/>
  <c r="E33" i="79" s="1"/>
  <c r="H10" i="56"/>
  <c r="O18" i="111"/>
  <c r="C10" i="56"/>
  <c r="F10" i="56"/>
  <c r="I41" i="97"/>
  <c r="M16" i="97"/>
  <c r="O8" i="97"/>
  <c r="O16" i="97"/>
  <c r="G41" i="97"/>
  <c r="F41" i="97"/>
  <c r="G16" i="97"/>
  <c r="E16" i="97"/>
  <c r="O23" i="97"/>
  <c r="H41" i="97"/>
  <c r="M41" i="97"/>
  <c r="O31" i="97"/>
  <c r="O46" i="97"/>
  <c r="O33" i="97"/>
  <c r="E41" i="97"/>
  <c r="L41" i="97"/>
  <c r="C41" i="97"/>
  <c r="O45" i="97"/>
  <c r="D41" i="97"/>
  <c r="J41" i="97"/>
  <c r="F23" i="120"/>
  <c r="D37" i="120"/>
  <c r="D32" i="140"/>
  <c r="D40" i="140"/>
  <c r="H37" i="120"/>
  <c r="H32" i="140"/>
  <c r="H40" i="140"/>
  <c r="C37" i="120"/>
  <c r="C32" i="140"/>
  <c r="C37" i="119"/>
  <c r="C45" i="119"/>
  <c r="F40" i="140"/>
  <c r="E40" i="140"/>
  <c r="G23" i="117"/>
  <c r="E23" i="117"/>
  <c r="D23" i="117"/>
  <c r="H23" i="117"/>
  <c r="G23" i="116"/>
  <c r="F23" i="116"/>
  <c r="C23" i="116"/>
  <c r="E23" i="116"/>
  <c r="F22" i="140"/>
  <c r="E22" i="140"/>
  <c r="G22" i="140"/>
  <c r="I28" i="140"/>
  <c r="G40" i="140"/>
  <c r="C17" i="79"/>
  <c r="F17" i="111"/>
  <c r="C19" i="79"/>
  <c r="G17" i="111"/>
  <c r="C29" i="79"/>
  <c r="C13" i="79"/>
  <c r="D17" i="111"/>
  <c r="C11" i="79"/>
  <c r="C17" i="111"/>
  <c r="C27" i="79"/>
  <c r="E27" i="79"/>
  <c r="K17" i="111"/>
  <c r="C21" i="79"/>
  <c r="H17" i="111"/>
  <c r="C25" i="79"/>
  <c r="E25" i="79"/>
  <c r="J17" i="111"/>
  <c r="C23" i="79"/>
  <c r="E23" i="79"/>
  <c r="I17" i="111"/>
  <c r="I15" i="120"/>
  <c r="I23" i="120"/>
  <c r="F23" i="119"/>
  <c r="G23" i="119"/>
  <c r="E23" i="119"/>
  <c r="G23" i="120"/>
  <c r="F45" i="119"/>
  <c r="G45" i="119"/>
  <c r="F45" i="120"/>
  <c r="C23" i="120"/>
  <c r="I15" i="117"/>
  <c r="I23" i="117"/>
  <c r="H45" i="119"/>
  <c r="C23" i="119"/>
  <c r="H23" i="120"/>
  <c r="D45" i="119"/>
  <c r="E23" i="120"/>
  <c r="D23" i="120"/>
  <c r="I33" i="120"/>
  <c r="E45" i="119"/>
  <c r="G45" i="120"/>
  <c r="E45" i="120"/>
  <c r="O8" i="56"/>
  <c r="O10" i="56" s="1"/>
  <c r="O48" i="97"/>
  <c r="O41" i="97"/>
  <c r="H45" i="120"/>
  <c r="C45" i="120"/>
  <c r="I37" i="120"/>
  <c r="I45" i="120"/>
  <c r="D45" i="120"/>
  <c r="C14" i="140"/>
  <c r="C22" i="140"/>
  <c r="C40" i="140"/>
  <c r="I32" i="140"/>
  <c r="D18" i="114"/>
  <c r="D14" i="114"/>
  <c r="E21" i="79"/>
  <c r="E19" i="79"/>
  <c r="E29" i="79"/>
  <c r="E13" i="79"/>
  <c r="E15" i="79"/>
  <c r="K22" i="108"/>
  <c r="G22" i="108"/>
  <c r="I40" i="140"/>
  <c r="D27" i="114"/>
  <c r="E11" i="79"/>
  <c r="E17" i="79"/>
  <c r="F22" i="108"/>
  <c r="M22" i="108"/>
  <c r="D26" i="47"/>
  <c r="D28" i="47"/>
  <c r="D24" i="47"/>
  <c r="D16" i="47"/>
  <c r="D14" i="47"/>
  <c r="D10" i="47"/>
  <c r="B4" i="22"/>
  <c r="B4" i="47"/>
  <c r="B15" i="32"/>
  <c r="B4" i="32"/>
  <c r="A4" i="51"/>
  <c r="A4" i="35"/>
  <c r="D23" i="24"/>
  <c r="D22" i="24"/>
  <c r="D21" i="24"/>
  <c r="D20" i="24"/>
  <c r="D19" i="24"/>
  <c r="D18" i="24"/>
  <c r="D17" i="24"/>
  <c r="D16" i="24"/>
  <c r="D14" i="24"/>
  <c r="D13" i="24"/>
  <c r="B23" i="35"/>
  <c r="B22" i="35"/>
  <c r="B21" i="35"/>
  <c r="B20" i="35"/>
  <c r="B19" i="35"/>
  <c r="B18" i="35"/>
  <c r="B17" i="35"/>
  <c r="B16" i="35"/>
  <c r="B15" i="35"/>
  <c r="B14" i="35"/>
  <c r="B13" i="35"/>
  <c r="A9" i="89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H11" i="17"/>
  <c r="H12" i="17"/>
  <c r="H13" i="17"/>
  <c r="H14" i="17"/>
  <c r="H15" i="17"/>
  <c r="H16" i="17"/>
  <c r="H17" i="17"/>
  <c r="H18" i="17"/>
  <c r="H19" i="17"/>
  <c r="H20" i="17"/>
  <c r="H21" i="17"/>
  <c r="H22" i="17"/>
  <c r="A11" i="17"/>
  <c r="A12" i="17"/>
  <c r="A13" i="17"/>
  <c r="A14" i="17"/>
  <c r="A15" i="17"/>
  <c r="A16" i="17"/>
  <c r="A17" i="17"/>
  <c r="A18" i="17"/>
  <c r="A19" i="17"/>
  <c r="A20" i="17"/>
  <c r="G14" i="32"/>
  <c r="G15" i="32"/>
  <c r="G16" i="32"/>
  <c r="G17" i="32"/>
  <c r="G18" i="32"/>
  <c r="G19" i="32"/>
  <c r="G20" i="32"/>
  <c r="G21" i="32"/>
  <c r="G22" i="32"/>
  <c r="A14" i="32"/>
  <c r="A15" i="32"/>
  <c r="A16" i="32"/>
  <c r="A17" i="32"/>
  <c r="A18" i="32"/>
  <c r="A19" i="32"/>
  <c r="A20" i="32"/>
  <c r="A21" i="32"/>
  <c r="A22" i="32"/>
  <c r="E11" i="47"/>
  <c r="E12" i="47"/>
  <c r="E13" i="47"/>
  <c r="E14" i="47"/>
  <c r="E15" i="47"/>
  <c r="E16" i="47"/>
  <c r="E17" i="47"/>
  <c r="A11" i="46"/>
  <c r="A12" i="46"/>
  <c r="A13" i="46"/>
  <c r="A14" i="46"/>
  <c r="A15" i="46"/>
  <c r="A16" i="46"/>
  <c r="A17" i="46"/>
  <c r="G13" i="51"/>
  <c r="G14" i="51"/>
  <c r="G15" i="51"/>
  <c r="G16" i="51"/>
  <c r="G17" i="51"/>
  <c r="G18" i="51"/>
  <c r="G19" i="51"/>
  <c r="G20" i="51"/>
  <c r="G21" i="51"/>
  <c r="G22" i="51"/>
  <c r="G23" i="51"/>
  <c r="G24" i="51"/>
  <c r="G25" i="51"/>
  <c r="G26" i="51"/>
  <c r="A13" i="51"/>
  <c r="A14" i="51"/>
  <c r="A15" i="51"/>
  <c r="A16" i="51"/>
  <c r="A17" i="51"/>
  <c r="A18" i="51"/>
  <c r="A19" i="51"/>
  <c r="A20" i="51"/>
  <c r="A21" i="51"/>
  <c r="A22" i="51"/>
  <c r="A23" i="51"/>
  <c r="A24" i="51"/>
  <c r="A25" i="51"/>
  <c r="A26" i="51"/>
  <c r="E11" i="46"/>
  <c r="E12" i="46"/>
  <c r="E13" i="46"/>
  <c r="E14" i="46"/>
  <c r="E15" i="46"/>
  <c r="E16" i="46"/>
  <c r="E17" i="46"/>
  <c r="A11" i="47"/>
  <c r="A12" i="47"/>
  <c r="A13" i="47"/>
  <c r="A14" i="47"/>
  <c r="A15" i="47"/>
  <c r="A16" i="47"/>
  <c r="A17" i="47"/>
  <c r="D13" i="22"/>
  <c r="C13" i="22"/>
  <c r="H14" i="35"/>
  <c r="H15" i="35"/>
  <c r="H16" i="35"/>
  <c r="H17" i="35"/>
  <c r="H18" i="35"/>
  <c r="H19" i="35"/>
  <c r="H20" i="35"/>
  <c r="H21" i="35"/>
  <c r="H22" i="35"/>
  <c r="H23" i="35"/>
  <c r="H24" i="35"/>
  <c r="H25" i="35"/>
  <c r="H26" i="35"/>
  <c r="H27" i="35"/>
  <c r="H28" i="35"/>
  <c r="H29" i="35"/>
  <c r="H30" i="35"/>
  <c r="H31" i="35"/>
  <c r="H32" i="35"/>
  <c r="H33" i="35"/>
  <c r="H34" i="35"/>
  <c r="H35" i="35"/>
  <c r="H36" i="35"/>
  <c r="H37" i="35"/>
  <c r="H38" i="35"/>
  <c r="H39" i="35"/>
  <c r="H40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38" i="35"/>
  <c r="A39" i="35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14" i="22"/>
  <c r="A15" i="22"/>
  <c r="A16" i="22"/>
  <c r="A17" i="22"/>
  <c r="A18" i="22"/>
  <c r="A19" i="22"/>
  <c r="A20" i="22"/>
  <c r="A21" i="22"/>
  <c r="A22" i="22"/>
  <c r="A23" i="22"/>
  <c r="G14" i="22"/>
  <c r="G15" i="22"/>
  <c r="G16" i="22"/>
  <c r="G17" i="22"/>
  <c r="G18" i="22"/>
  <c r="G19" i="22"/>
  <c r="G20" i="22"/>
  <c r="G21" i="22"/>
  <c r="G22" i="22"/>
  <c r="G23" i="22"/>
  <c r="A40" i="35"/>
  <c r="A21" i="17"/>
  <c r="A22" i="17"/>
  <c r="A23" i="17"/>
  <c r="A24" i="17"/>
  <c r="H23" i="17"/>
  <c r="H24" i="17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C8" i="89"/>
  <c r="C9" i="89"/>
  <c r="E18" i="47"/>
  <c r="E19" i="47"/>
  <c r="E20" i="47"/>
  <c r="E21" i="47"/>
  <c r="E22" i="47"/>
  <c r="E23" i="47"/>
  <c r="E24" i="47"/>
  <c r="E25" i="47"/>
  <c r="A18" i="47"/>
  <c r="A19" i="47"/>
  <c r="A20" i="47"/>
  <c r="A21" i="47"/>
  <c r="A22" i="47"/>
  <c r="A23" i="47"/>
  <c r="A24" i="47"/>
  <c r="A25" i="47"/>
  <c r="E18" i="46"/>
  <c r="E19" i="46"/>
  <c r="E20" i="46"/>
  <c r="E21" i="46"/>
  <c r="E22" i="46"/>
  <c r="E23" i="46"/>
  <c r="E24" i="46"/>
  <c r="E25" i="46"/>
  <c r="A18" i="46"/>
  <c r="A19" i="46"/>
  <c r="A20" i="46"/>
  <c r="A21" i="46"/>
  <c r="A22" i="46"/>
  <c r="A23" i="46"/>
  <c r="A24" i="46"/>
  <c r="B24" i="35"/>
  <c r="D12" i="24"/>
  <c r="C13" i="35"/>
  <c r="E26" i="47"/>
  <c r="E27" i="47"/>
  <c r="E28" i="47"/>
  <c r="E29" i="47"/>
  <c r="E30" i="47"/>
  <c r="E31" i="47"/>
  <c r="E32" i="47"/>
  <c r="E33" i="47"/>
  <c r="E34" i="47"/>
  <c r="E35" i="47"/>
  <c r="E36" i="47"/>
  <c r="A26" i="47"/>
  <c r="A27" i="47"/>
  <c r="A28" i="47"/>
  <c r="A29" i="47"/>
  <c r="A30" i="47"/>
  <c r="A31" i="47"/>
  <c r="A32" i="47"/>
  <c r="A33" i="47"/>
  <c r="A34" i="47"/>
  <c r="A35" i="47"/>
  <c r="A36" i="47"/>
  <c r="A25" i="46"/>
  <c r="A26" i="46"/>
  <c r="A27" i="46"/>
  <c r="A28" i="46"/>
  <c r="A29" i="46"/>
  <c r="A30" i="46"/>
  <c r="A31" i="46"/>
  <c r="A32" i="46"/>
  <c r="E26" i="46"/>
  <c r="E27" i="46"/>
  <c r="E28" i="46"/>
  <c r="E29" i="46"/>
  <c r="E30" i="46"/>
  <c r="E31" i="46"/>
  <c r="E32" i="46"/>
  <c r="H39" i="97"/>
  <c r="C17" i="51"/>
  <c r="E17" i="51"/>
  <c r="C18" i="35"/>
  <c r="E18" i="35"/>
  <c r="F18" i="35"/>
  <c r="G39" i="97"/>
  <c r="C16" i="51"/>
  <c r="E16" i="51"/>
  <c r="F39" i="97"/>
  <c r="C15" i="51"/>
  <c r="E15" i="51"/>
  <c r="C16" i="35"/>
  <c r="E16" i="35"/>
  <c r="F16" i="35"/>
  <c r="E39" i="97"/>
  <c r="C14" i="51"/>
  <c r="E14" i="51"/>
  <c r="J39" i="97"/>
  <c r="C19" i="51"/>
  <c r="E19" i="51"/>
  <c r="C20" i="35"/>
  <c r="E20" i="35"/>
  <c r="F20" i="35"/>
  <c r="M39" i="97"/>
  <c r="C22" i="51"/>
  <c r="E22" i="51"/>
  <c r="L39" i="97"/>
  <c r="C21" i="51"/>
  <c r="E21" i="51"/>
  <c r="C22" i="35"/>
  <c r="E22" i="35"/>
  <c r="F22" i="35"/>
  <c r="K39" i="97"/>
  <c r="C20" i="51"/>
  <c r="E20" i="51"/>
  <c r="D39" i="97"/>
  <c r="C13" i="51"/>
  <c r="E13" i="51"/>
  <c r="C14" i="35"/>
  <c r="E14" i="35"/>
  <c r="F14" i="35"/>
  <c r="I39" i="97"/>
  <c r="C18" i="51"/>
  <c r="E18" i="51"/>
  <c r="C19" i="35"/>
  <c r="E19" i="35"/>
  <c r="F19" i="35"/>
  <c r="N39" i="97"/>
  <c r="C23" i="51"/>
  <c r="E23" i="51"/>
  <c r="C24" i="35"/>
  <c r="E24" i="35"/>
  <c r="F24" i="35"/>
  <c r="D26" i="51"/>
  <c r="C39" i="97"/>
  <c r="C12" i="51"/>
  <c r="E12" i="51"/>
  <c r="O38" i="97"/>
  <c r="O39" i="97"/>
  <c r="C15" i="35"/>
  <c r="E15" i="35"/>
  <c r="F15" i="35"/>
  <c r="C21" i="35"/>
  <c r="E21" i="35"/>
  <c r="F21" i="35"/>
  <c r="C17" i="35"/>
  <c r="E17" i="35"/>
  <c r="F17" i="35"/>
  <c r="C23" i="35"/>
  <c r="E23" i="35"/>
  <c r="F23" i="35"/>
  <c r="C26" i="51"/>
  <c r="E26" i="51"/>
  <c r="R42" i="97"/>
  <c r="D26" i="35"/>
  <c r="O13" i="97"/>
  <c r="O14" i="97"/>
  <c r="E13" i="35"/>
  <c r="C26" i="35"/>
  <c r="F13" i="35"/>
  <c r="E26" i="35"/>
  <c r="E28" i="35"/>
  <c r="A16" i="56"/>
  <c r="A17" i="56"/>
  <c r="A18" i="56"/>
  <c r="A19" i="56"/>
  <c r="A20" i="56"/>
  <c r="F26" i="35"/>
  <c r="F34" i="35"/>
  <c r="F40" i="35"/>
  <c r="D21" i="22"/>
  <c r="C21" i="22"/>
  <c r="E21" i="22"/>
  <c r="N20" i="111" l="1"/>
  <c r="O21" i="108" s="1"/>
  <c r="O22" i="108" s="1"/>
  <c r="E13" i="22"/>
  <c r="Q6" i="141"/>
  <c r="D49" i="141"/>
  <c r="C16" i="56" s="1"/>
  <c r="K16" i="56"/>
  <c r="L52" i="141"/>
  <c r="A8" i="141"/>
  <c r="Q7" i="141"/>
  <c r="H16" i="56"/>
  <c r="H24" i="56" s="1"/>
  <c r="I52" i="141"/>
  <c r="J49" i="141"/>
  <c r="P17" i="108"/>
  <c r="E43" i="143" s="1"/>
  <c r="E47" i="143" s="1"/>
  <c r="O52" i="141"/>
  <c r="N19" i="111"/>
  <c r="O53" i="141" s="1"/>
  <c r="N24" i="56"/>
  <c r="C30" i="144"/>
  <c r="N17" i="111"/>
  <c r="P47" i="141"/>
  <c r="F52" i="141"/>
  <c r="M52" i="141"/>
  <c r="K19" i="111"/>
  <c r="L53" i="141" s="1"/>
  <c r="C24" i="144"/>
  <c r="K24" i="56"/>
  <c r="K21" i="111"/>
  <c r="J19" i="111"/>
  <c r="K53" i="141" s="1"/>
  <c r="C22" i="144"/>
  <c r="J24" i="56"/>
  <c r="K52" i="141"/>
  <c r="I16" i="56"/>
  <c r="J52" i="141"/>
  <c r="C18" i="144"/>
  <c r="H19" i="111"/>
  <c r="I53" i="141" s="1"/>
  <c r="I54" i="141" s="1"/>
  <c r="G16" i="56"/>
  <c r="O16" i="56" s="1"/>
  <c r="C14" i="144"/>
  <c r="F24" i="56"/>
  <c r="F19" i="111"/>
  <c r="G53" i="141" s="1"/>
  <c r="G54" i="141" s="1"/>
  <c r="E24" i="56"/>
  <c r="E19" i="111"/>
  <c r="F53" i="141" s="1"/>
  <c r="C12" i="144"/>
  <c r="P19" i="141"/>
  <c r="E52" i="141"/>
  <c r="E54" i="141" s="1"/>
  <c r="D24" i="56"/>
  <c r="C10" i="144"/>
  <c r="C19" i="111"/>
  <c r="D53" i="141" s="1"/>
  <c r="C24" i="56"/>
  <c r="C8" i="144"/>
  <c r="D52" i="141"/>
  <c r="D54" i="141" s="1"/>
  <c r="C21" i="111"/>
  <c r="C25" i="111" s="1"/>
  <c r="O19" i="56"/>
  <c r="C18" i="107"/>
  <c r="H20" i="111"/>
  <c r="C32" i="107"/>
  <c r="C34" i="107" s="1"/>
  <c r="K25" i="111"/>
  <c r="K25" i="56"/>
  <c r="K26" i="56" s="1"/>
  <c r="D21" i="108"/>
  <c r="D22" i="108" s="1"/>
  <c r="I20" i="108"/>
  <c r="D21" i="111"/>
  <c r="J21" i="108"/>
  <c r="J22" i="108" s="1"/>
  <c r="O23" i="96"/>
  <c r="C13" i="147"/>
  <c r="D35" i="32"/>
  <c r="D17" i="22" s="1"/>
  <c r="E13" i="147"/>
  <c r="L19" i="111"/>
  <c r="L21" i="111" s="1"/>
  <c r="C26" i="144"/>
  <c r="L24" i="56"/>
  <c r="N52" i="141"/>
  <c r="C28" i="144"/>
  <c r="M19" i="111"/>
  <c r="M24" i="56"/>
  <c r="E31" i="79"/>
  <c r="E35" i="79" s="1"/>
  <c r="E37" i="79" s="1"/>
  <c r="C35" i="79"/>
  <c r="C37" i="79" s="1"/>
  <c r="C22" i="143" s="1"/>
  <c r="M17" i="111"/>
  <c r="M48" i="96"/>
  <c r="M33" i="96" s="1"/>
  <c r="D48" i="96"/>
  <c r="D33" i="96" s="1"/>
  <c r="D41" i="96" s="1"/>
  <c r="D10" i="111" s="1"/>
  <c r="D12" i="111" s="1"/>
  <c r="H48" i="96"/>
  <c r="H33" i="96" s="1"/>
  <c r="H41" i="96" s="1"/>
  <c r="H10" i="111" s="1"/>
  <c r="H12" i="111" s="1"/>
  <c r="N41" i="96"/>
  <c r="N10" i="111" s="1"/>
  <c r="N12" i="111" s="1"/>
  <c r="N13" i="111" s="1"/>
  <c r="I48" i="96"/>
  <c r="I33" i="96" s="1"/>
  <c r="I39" i="96" s="1"/>
  <c r="C18" i="24" s="1"/>
  <c r="E18" i="24" s="1"/>
  <c r="A9" i="96"/>
  <c r="A10" i="96" s="1"/>
  <c r="A11" i="96" s="1"/>
  <c r="A12" i="96" s="1"/>
  <c r="A13" i="96" s="1"/>
  <c r="A14" i="96" s="1"/>
  <c r="A15" i="96" s="1"/>
  <c r="A16" i="96" s="1"/>
  <c r="A17" i="96" s="1"/>
  <c r="A18" i="96" s="1"/>
  <c r="A19" i="96" s="1"/>
  <c r="A20" i="96" s="1"/>
  <c r="A21" i="96" s="1"/>
  <c r="A22" i="96" s="1"/>
  <c r="A23" i="96" s="1"/>
  <c r="A24" i="96" s="1"/>
  <c r="A29" i="96" s="1"/>
  <c r="A30" i="96" s="1"/>
  <c r="A31" i="96" s="1"/>
  <c r="A32" i="96" s="1"/>
  <c r="A33" i="96" s="1"/>
  <c r="A36" i="96" s="1"/>
  <c r="A37" i="96" s="1"/>
  <c r="A38" i="96" s="1"/>
  <c r="A39" i="96" s="1"/>
  <c r="A40" i="96" s="1"/>
  <c r="A41" i="96" s="1"/>
  <c r="A42" i="96" s="1"/>
  <c r="A43" i="96" s="1"/>
  <c r="A44" i="96" s="1"/>
  <c r="A45" i="96" s="1"/>
  <c r="A46" i="96" s="1"/>
  <c r="A47" i="96" s="1"/>
  <c r="A48" i="96" s="1"/>
  <c r="A49" i="96" s="1"/>
  <c r="O47" i="96"/>
  <c r="P11" i="96"/>
  <c r="P12" i="96" s="1"/>
  <c r="P13" i="96" s="1"/>
  <c r="P14" i="96" s="1"/>
  <c r="P15" i="96" s="1"/>
  <c r="P16" i="96" s="1"/>
  <c r="P17" i="96" s="1"/>
  <c r="P18" i="96" s="1"/>
  <c r="P19" i="96" s="1"/>
  <c r="P20" i="96" s="1"/>
  <c r="P21" i="96" s="1"/>
  <c r="P22" i="96" s="1"/>
  <c r="P23" i="96" s="1"/>
  <c r="P24" i="96" s="1"/>
  <c r="P29" i="96" s="1"/>
  <c r="P30" i="96" s="1"/>
  <c r="P31" i="96" s="1"/>
  <c r="P32" i="96" s="1"/>
  <c r="P33" i="96" s="1"/>
  <c r="P36" i="96" s="1"/>
  <c r="P37" i="96" s="1"/>
  <c r="P38" i="96" s="1"/>
  <c r="P39" i="96" s="1"/>
  <c r="P40" i="96" s="1"/>
  <c r="P41" i="96" s="1"/>
  <c r="P42" i="96" s="1"/>
  <c r="P43" i="96" s="1"/>
  <c r="P44" i="96" s="1"/>
  <c r="P45" i="96" s="1"/>
  <c r="P46" i="96" s="1"/>
  <c r="P47" i="96" s="1"/>
  <c r="P48" i="96" s="1"/>
  <c r="P49" i="96" s="1"/>
  <c r="O16" i="96"/>
  <c r="M39" i="96"/>
  <c r="C22" i="24" s="1"/>
  <c r="E22" i="24" s="1"/>
  <c r="O46" i="96"/>
  <c r="O48" i="96" s="1"/>
  <c r="N39" i="96"/>
  <c r="C23" i="24" s="1"/>
  <c r="E23" i="24" s="1"/>
  <c r="E16" i="24"/>
  <c r="J39" i="96"/>
  <c r="C19" i="24" s="1"/>
  <c r="E19" i="24" s="1"/>
  <c r="O36" i="96"/>
  <c r="M41" i="96"/>
  <c r="M10" i="111" s="1"/>
  <c r="M12" i="111" s="1"/>
  <c r="M13" i="111" s="1"/>
  <c r="M14" i="111" s="1"/>
  <c r="D26" i="24"/>
  <c r="O31" i="96"/>
  <c r="O37" i="96"/>
  <c r="C41" i="96"/>
  <c r="C10" i="111" s="1"/>
  <c r="C12" i="111" s="1"/>
  <c r="C13" i="111" s="1"/>
  <c r="C39" i="96"/>
  <c r="C12" i="24" s="1"/>
  <c r="E12" i="24" s="1"/>
  <c r="K41" i="96"/>
  <c r="K10" i="111" s="1"/>
  <c r="K12" i="111" s="1"/>
  <c r="K13" i="111" s="1"/>
  <c r="L41" i="96"/>
  <c r="L10" i="111" s="1"/>
  <c r="L12" i="111" s="1"/>
  <c r="L13" i="111" s="1"/>
  <c r="F39" i="96"/>
  <c r="C15" i="24" s="1"/>
  <c r="E15" i="24" s="1"/>
  <c r="G41" i="96"/>
  <c r="G10" i="111" s="1"/>
  <c r="G12" i="111" s="1"/>
  <c r="G13" i="111" s="1"/>
  <c r="G14" i="111" s="1"/>
  <c r="E48" i="96"/>
  <c r="E33" i="96" s="1"/>
  <c r="D13" i="111"/>
  <c r="D14" i="111" s="1"/>
  <c r="F41" i="96"/>
  <c r="F10" i="111" s="1"/>
  <c r="F12" i="111" s="1"/>
  <c r="J41" i="96"/>
  <c r="J10" i="111" s="1"/>
  <c r="J12" i="111" s="1"/>
  <c r="O32" i="96"/>
  <c r="O38" i="96"/>
  <c r="O14" i="96"/>
  <c r="K39" i="96"/>
  <c r="C20" i="24" s="1"/>
  <c r="E20" i="24" s="1"/>
  <c r="L39" i="96"/>
  <c r="C21" i="24" s="1"/>
  <c r="E21" i="24" s="1"/>
  <c r="P20" i="108" l="1"/>
  <c r="C15" i="147"/>
  <c r="C35" i="32" s="1"/>
  <c r="E21" i="111"/>
  <c r="E25" i="56" s="1"/>
  <c r="E26" i="56" s="1"/>
  <c r="L54" i="141"/>
  <c r="C25" i="56"/>
  <c r="C26" i="56" s="1"/>
  <c r="Q8" i="141"/>
  <c r="A9" i="141"/>
  <c r="A10" i="141" s="1"/>
  <c r="F21" i="111"/>
  <c r="F25" i="56" s="1"/>
  <c r="F26" i="56" s="1"/>
  <c r="N21" i="111"/>
  <c r="N25" i="111" s="1"/>
  <c r="O54" i="141"/>
  <c r="P49" i="141"/>
  <c r="P52" i="141" s="1"/>
  <c r="F54" i="141"/>
  <c r="E25" i="111"/>
  <c r="J21" i="111"/>
  <c r="K54" i="141"/>
  <c r="I19" i="111"/>
  <c r="I24" i="56"/>
  <c r="C20" i="144"/>
  <c r="G19" i="111"/>
  <c r="C16" i="144"/>
  <c r="G24" i="56"/>
  <c r="C20" i="47"/>
  <c r="C20" i="46"/>
  <c r="O20" i="111"/>
  <c r="P21" i="108" s="1"/>
  <c r="P22" i="108" s="1"/>
  <c r="I21" i="108"/>
  <c r="I22" i="108" s="1"/>
  <c r="H21" i="111"/>
  <c r="D25" i="56"/>
  <c r="D26" i="56" s="1"/>
  <c r="D25" i="111"/>
  <c r="D27" i="111" s="1"/>
  <c r="D31" i="111" s="1"/>
  <c r="M53" i="141"/>
  <c r="M54" i="141" s="1"/>
  <c r="L25" i="111"/>
  <c r="L25" i="56"/>
  <c r="L26" i="56" s="1"/>
  <c r="N53" i="141"/>
  <c r="D33" i="143"/>
  <c r="D47" i="143"/>
  <c r="D49" i="143" s="1"/>
  <c r="C33" i="143"/>
  <c r="C47" i="143"/>
  <c r="C49" i="143" s="1"/>
  <c r="E18" i="143"/>
  <c r="C24" i="143" s="1"/>
  <c r="E24" i="143" s="1"/>
  <c r="O17" i="111"/>
  <c r="M21" i="111"/>
  <c r="C14" i="46"/>
  <c r="C14" i="47"/>
  <c r="E22" i="143"/>
  <c r="K14" i="111"/>
  <c r="K27" i="111" s="1"/>
  <c r="K31" i="111" s="1"/>
  <c r="H39" i="96"/>
  <c r="C17" i="24" s="1"/>
  <c r="E17" i="24" s="1"/>
  <c r="O33" i="96"/>
  <c r="O39" i="96" s="1"/>
  <c r="D39" i="96"/>
  <c r="C13" i="24" s="1"/>
  <c r="E13" i="24" s="1"/>
  <c r="N14" i="111"/>
  <c r="I41" i="96"/>
  <c r="I10" i="111" s="1"/>
  <c r="I12" i="111" s="1"/>
  <c r="I13" i="111" s="1"/>
  <c r="I14" i="111" s="1"/>
  <c r="L14" i="111"/>
  <c r="E39" i="96"/>
  <c r="C14" i="24" s="1"/>
  <c r="E14" i="24" s="1"/>
  <c r="E41" i="96"/>
  <c r="E10" i="111" s="1"/>
  <c r="E12" i="111" s="1"/>
  <c r="O41" i="96"/>
  <c r="H13" i="111"/>
  <c r="H14" i="111" s="1"/>
  <c r="C14" i="111"/>
  <c r="F13" i="111"/>
  <c r="F14" i="111" s="1"/>
  <c r="J13" i="111"/>
  <c r="J14" i="111" s="1"/>
  <c r="C17" i="22" l="1"/>
  <c r="E17" i="22" s="1"/>
  <c r="E35" i="32"/>
  <c r="E15" i="147"/>
  <c r="C26" i="143"/>
  <c r="C32" i="144"/>
  <c r="C34" i="144" s="1"/>
  <c r="C18" i="46" s="1"/>
  <c r="O19" i="111"/>
  <c r="Q9" i="141"/>
  <c r="F25" i="111"/>
  <c r="F27" i="111" s="1"/>
  <c r="F31" i="111" s="1"/>
  <c r="N25" i="56"/>
  <c r="N26" i="56" s="1"/>
  <c r="N27" i="111"/>
  <c r="N31" i="111" s="1"/>
  <c r="J25" i="56"/>
  <c r="J26" i="56" s="1"/>
  <c r="J25" i="111"/>
  <c r="J27" i="111" s="1"/>
  <c r="J31" i="111" s="1"/>
  <c r="J53" i="141"/>
  <c r="J54" i="141" s="1"/>
  <c r="I21" i="111"/>
  <c r="O24" i="56"/>
  <c r="H53" i="141"/>
  <c r="H54" i="141" s="1"/>
  <c r="G21" i="111"/>
  <c r="H25" i="111"/>
  <c r="H27" i="111" s="1"/>
  <c r="H31" i="111" s="1"/>
  <c r="H25" i="56"/>
  <c r="H26" i="56" s="1"/>
  <c r="L27" i="111"/>
  <c r="L31" i="111" s="1"/>
  <c r="C22" i="46"/>
  <c r="O21" i="111"/>
  <c r="O25" i="111" s="1"/>
  <c r="N54" i="141"/>
  <c r="E18" i="17"/>
  <c r="D25" i="32"/>
  <c r="C25" i="32"/>
  <c r="E25" i="32" s="1"/>
  <c r="E49" i="143"/>
  <c r="D18" i="17"/>
  <c r="C21" i="32"/>
  <c r="E33" i="143"/>
  <c r="D14" i="17"/>
  <c r="E14" i="17"/>
  <c r="D21" i="32"/>
  <c r="E26" i="143"/>
  <c r="C19" i="32"/>
  <c r="D12" i="17"/>
  <c r="M25" i="56"/>
  <c r="M25" i="111"/>
  <c r="M27" i="111" s="1"/>
  <c r="M31" i="111" s="1"/>
  <c r="O10" i="111"/>
  <c r="C26" i="24"/>
  <c r="E26" i="24"/>
  <c r="C34" i="47" s="1"/>
  <c r="O12" i="111"/>
  <c r="E13" i="111"/>
  <c r="O13" i="111" s="1"/>
  <c r="C27" i="111"/>
  <c r="E37" i="143" l="1"/>
  <c r="C18" i="47"/>
  <c r="C22" i="47" s="1"/>
  <c r="F14" i="17"/>
  <c r="F18" i="17"/>
  <c r="P53" i="141"/>
  <c r="P54" i="141" s="1"/>
  <c r="I25" i="56"/>
  <c r="I26" i="56" s="1"/>
  <c r="I25" i="111"/>
  <c r="I27" i="111" s="1"/>
  <c r="I31" i="111" s="1"/>
  <c r="G25" i="56"/>
  <c r="G26" i="56" s="1"/>
  <c r="G25" i="111"/>
  <c r="G27" i="111" s="1"/>
  <c r="G31" i="111" s="1"/>
  <c r="E21" i="32"/>
  <c r="F12" i="17"/>
  <c r="O25" i="56"/>
  <c r="O26" i="56" s="1"/>
  <c r="M26" i="56"/>
  <c r="E19" i="32"/>
  <c r="R42" i="96"/>
  <c r="E14" i="111"/>
  <c r="C31" i="111"/>
  <c r="C32" i="111" s="1"/>
  <c r="C34" i="111" s="1"/>
  <c r="C38" i="111" s="1"/>
  <c r="D7" i="111" s="1"/>
  <c r="E16" i="17" l="1"/>
  <c r="E20" i="17" s="1"/>
  <c r="D39" i="143"/>
  <c r="D23" i="32" s="1"/>
  <c r="D27" i="32" s="1"/>
  <c r="C39" i="143"/>
  <c r="C23" i="32" s="1"/>
  <c r="A11" i="141"/>
  <c r="Q10" i="141"/>
  <c r="E23" i="32"/>
  <c r="E27" i="32" s="1"/>
  <c r="C27" i="32"/>
  <c r="E39" i="143"/>
  <c r="D16" i="17"/>
  <c r="F16" i="17" s="1"/>
  <c r="F20" i="17" s="1"/>
  <c r="E22" i="17" s="1"/>
  <c r="E27" i="111"/>
  <c r="E31" i="111" s="1"/>
  <c r="O14" i="111"/>
  <c r="O27" i="111" s="1"/>
  <c r="D30" i="111"/>
  <c r="D32" i="111" s="1"/>
  <c r="D34" i="111" s="1"/>
  <c r="D38" i="111" s="1"/>
  <c r="E7" i="111" s="1"/>
  <c r="Q11" i="141" l="1"/>
  <c r="A12" i="141"/>
  <c r="D20" i="17"/>
  <c r="D22" i="17" s="1"/>
  <c r="E30" i="111"/>
  <c r="E32" i="111" s="1"/>
  <c r="E34" i="111" s="1"/>
  <c r="F22" i="17" l="1"/>
  <c r="Q12" i="141"/>
  <c r="A13" i="141"/>
  <c r="E38" i="111"/>
  <c r="F7" i="111" s="1"/>
  <c r="A14" i="141" l="1"/>
  <c r="Q13" i="141"/>
  <c r="F30" i="111"/>
  <c r="F32" i="111" s="1"/>
  <c r="F34" i="111" s="1"/>
  <c r="F38" i="111" s="1"/>
  <c r="G7" i="111" s="1"/>
  <c r="A15" i="141" l="1"/>
  <c r="Q14" i="141"/>
  <c r="G30" i="111"/>
  <c r="G32" i="111" s="1"/>
  <c r="G34" i="111" s="1"/>
  <c r="G38" i="111" s="1"/>
  <c r="H7" i="111" s="1"/>
  <c r="A16" i="141" l="1"/>
  <c r="Q15" i="141"/>
  <c r="H30" i="111"/>
  <c r="H32" i="111" s="1"/>
  <c r="H34" i="111" s="1"/>
  <c r="H38" i="111" s="1"/>
  <c r="I7" i="111" s="1"/>
  <c r="A17" i="141" l="1"/>
  <c r="Q16" i="141"/>
  <c r="I30" i="111"/>
  <c r="I32" i="111" s="1"/>
  <c r="I34" i="111" s="1"/>
  <c r="I38" i="111" s="1"/>
  <c r="J7" i="111" s="1"/>
  <c r="A18" i="141" l="1"/>
  <c r="Q17" i="141"/>
  <c r="J30" i="111"/>
  <c r="J32" i="111" s="1"/>
  <c r="J34" i="111" s="1"/>
  <c r="J38" i="111" s="1"/>
  <c r="K7" i="111" s="1"/>
  <c r="A19" i="141" l="1"/>
  <c r="Q18" i="141"/>
  <c r="K30" i="111"/>
  <c r="K32" i="111" s="1"/>
  <c r="K34" i="111" s="1"/>
  <c r="K38" i="111" s="1"/>
  <c r="L7" i="111" s="1"/>
  <c r="A20" i="141" l="1"/>
  <c r="Q19" i="141"/>
  <c r="L30" i="111"/>
  <c r="L32" i="111" s="1"/>
  <c r="L34" i="111" s="1"/>
  <c r="L38" i="111" s="1"/>
  <c r="M7" i="111" s="1"/>
  <c r="Q20" i="141" l="1"/>
  <c r="A21" i="141"/>
  <c r="M30" i="111"/>
  <c r="M32" i="111" s="1"/>
  <c r="M34" i="111" s="1"/>
  <c r="M38" i="111" s="1"/>
  <c r="N7" i="111" s="1"/>
  <c r="Q21" i="141" l="1"/>
  <c r="A22" i="141"/>
  <c r="N30" i="111"/>
  <c r="N32" i="111" s="1"/>
  <c r="N34" i="111" s="1"/>
  <c r="O34" i="111" s="1"/>
  <c r="O38" i="111" s="1"/>
  <c r="Q22" i="141" l="1"/>
  <c r="N38" i="111"/>
  <c r="C10" i="47"/>
  <c r="C10" i="17"/>
  <c r="C10" i="46"/>
  <c r="E24" i="17" l="1"/>
  <c r="D15" i="32" s="1"/>
  <c r="D29" i="32" s="1"/>
  <c r="D24" i="17"/>
  <c r="C24" i="46"/>
  <c r="C24" i="47"/>
  <c r="Q24" i="141"/>
  <c r="A25" i="141"/>
  <c r="C26" i="47" l="1"/>
  <c r="C32" i="47" s="1"/>
  <c r="C36" i="47" s="1"/>
  <c r="C28" i="116" s="1"/>
  <c r="C26" i="46"/>
  <c r="C28" i="47"/>
  <c r="C28" i="46"/>
  <c r="Q25" i="141"/>
  <c r="A26" i="141"/>
  <c r="C30" i="46"/>
  <c r="C32" i="46" s="1"/>
  <c r="C30" i="47"/>
  <c r="D31" i="32"/>
  <c r="D33" i="32" s="1"/>
  <c r="F24" i="17"/>
  <c r="C15" i="32"/>
  <c r="Q26" i="141" l="1"/>
  <c r="E15" i="32"/>
  <c r="E29" i="32" s="1"/>
  <c r="C29" i="32"/>
  <c r="D15" i="22"/>
  <c r="D19" i="22" s="1"/>
  <c r="D23" i="22" s="1"/>
  <c r="D37" i="32"/>
  <c r="C43" i="116"/>
  <c r="C28" i="117"/>
  <c r="C33" i="116"/>
  <c r="C37" i="116"/>
  <c r="E28" i="116"/>
  <c r="H28" i="116"/>
  <c r="F28" i="116"/>
  <c r="G28" i="116"/>
  <c r="C41" i="116"/>
  <c r="D28" i="116"/>
  <c r="C35" i="116"/>
  <c r="C39" i="116"/>
  <c r="C16" i="139" l="1"/>
  <c r="G43" i="116"/>
  <c r="G20" i="139" s="1"/>
  <c r="G39" i="116"/>
  <c r="G16" i="139" s="1"/>
  <c r="G41" i="116"/>
  <c r="G18" i="139" s="1"/>
  <c r="G35" i="116"/>
  <c r="G12" i="139" s="1"/>
  <c r="G37" i="116"/>
  <c r="G14" i="139" s="1"/>
  <c r="G33" i="116"/>
  <c r="C12" i="139"/>
  <c r="C14" i="139"/>
  <c r="D39" i="116"/>
  <c r="D16" i="139" s="1"/>
  <c r="D41" i="116"/>
  <c r="D18" i="139" s="1"/>
  <c r="D33" i="116"/>
  <c r="D35" i="116"/>
  <c r="D12" i="139" s="1"/>
  <c r="D37" i="116"/>
  <c r="D14" i="139" s="1"/>
  <c r="D43" i="116"/>
  <c r="D20" i="139" s="1"/>
  <c r="F41" i="116"/>
  <c r="F18" i="139" s="1"/>
  <c r="F35" i="116"/>
  <c r="F12" i="139" s="1"/>
  <c r="F37" i="116"/>
  <c r="F14" i="139" s="1"/>
  <c r="F43" i="116"/>
  <c r="F20" i="139" s="1"/>
  <c r="F39" i="116"/>
  <c r="F16" i="139" s="1"/>
  <c r="F33" i="116"/>
  <c r="C33" i="117"/>
  <c r="C41" i="117"/>
  <c r="C36" i="139" s="1"/>
  <c r="F28" i="117"/>
  <c r="H28" i="117"/>
  <c r="C43" i="117"/>
  <c r="C38" i="139" s="1"/>
  <c r="C35" i="117"/>
  <c r="C30" i="139" s="1"/>
  <c r="C37" i="117"/>
  <c r="C32" i="139" s="1"/>
  <c r="E28" i="117"/>
  <c r="G28" i="117"/>
  <c r="C39" i="117"/>
  <c r="C34" i="139" s="1"/>
  <c r="D28" i="117"/>
  <c r="C18" i="139"/>
  <c r="E41" i="116"/>
  <c r="E18" i="139" s="1"/>
  <c r="E39" i="116"/>
  <c r="E16" i="139" s="1"/>
  <c r="E37" i="116"/>
  <c r="E14" i="139" s="1"/>
  <c r="E35" i="116"/>
  <c r="E12" i="139" s="1"/>
  <c r="E43" i="116"/>
  <c r="E20" i="139" s="1"/>
  <c r="E33" i="116"/>
  <c r="H33" i="116"/>
  <c r="H35" i="116"/>
  <c r="H12" i="139" s="1"/>
  <c r="H39" i="116"/>
  <c r="H16" i="139" s="1"/>
  <c r="H37" i="116"/>
  <c r="H14" i="139" s="1"/>
  <c r="H43" i="116"/>
  <c r="H20" i="139" s="1"/>
  <c r="H41" i="116"/>
  <c r="H18" i="139" s="1"/>
  <c r="C10" i="139"/>
  <c r="C45" i="116"/>
  <c r="C20" i="139"/>
  <c r="C31" i="32"/>
  <c r="E31" i="32" s="1"/>
  <c r="E33" i="32" s="1"/>
  <c r="E37" i="32" s="1"/>
  <c r="A28" i="141" l="1"/>
  <c r="Q27" i="141"/>
  <c r="C33" i="32"/>
  <c r="C37" i="32"/>
  <c r="F10" i="139"/>
  <c r="F22" i="139" s="1"/>
  <c r="F45" i="116"/>
  <c r="G45" i="116"/>
  <c r="G10" i="139"/>
  <c r="G22" i="139" s="1"/>
  <c r="E10" i="139"/>
  <c r="E22" i="139" s="1"/>
  <c r="E45" i="116"/>
  <c r="H41" i="117"/>
  <c r="H36" i="139" s="1"/>
  <c r="H35" i="117"/>
  <c r="H30" i="139" s="1"/>
  <c r="H33" i="117"/>
  <c r="H39" i="117"/>
  <c r="H34" i="139" s="1"/>
  <c r="H43" i="117"/>
  <c r="H38" i="139" s="1"/>
  <c r="H37" i="117"/>
  <c r="H32" i="139" s="1"/>
  <c r="F43" i="117"/>
  <c r="F38" i="139" s="1"/>
  <c r="F41" i="117"/>
  <c r="F36" i="139" s="1"/>
  <c r="F33" i="117"/>
  <c r="F35" i="117"/>
  <c r="F30" i="139" s="1"/>
  <c r="F39" i="117"/>
  <c r="F34" i="139" s="1"/>
  <c r="F37" i="117"/>
  <c r="F32" i="139" s="1"/>
  <c r="C28" i="139"/>
  <c r="C40" i="139" s="1"/>
  <c r="C45" i="117"/>
  <c r="D45" i="116"/>
  <c r="D10" i="139"/>
  <c r="D22" i="139" s="1"/>
  <c r="H45" i="116"/>
  <c r="H10" i="139"/>
  <c r="H22" i="139" s="1"/>
  <c r="E33" i="117"/>
  <c r="E41" i="117"/>
  <c r="E36" i="139" s="1"/>
  <c r="E39" i="117"/>
  <c r="E34" i="139" s="1"/>
  <c r="E35" i="117"/>
  <c r="E30" i="139" s="1"/>
  <c r="E37" i="117"/>
  <c r="E32" i="139" s="1"/>
  <c r="E43" i="117"/>
  <c r="E38" i="139" s="1"/>
  <c r="C22" i="139"/>
  <c r="D43" i="117"/>
  <c r="D38" i="139" s="1"/>
  <c r="D33" i="117"/>
  <c r="D35" i="117"/>
  <c r="D30" i="139" s="1"/>
  <c r="D41" i="117"/>
  <c r="D36" i="139" s="1"/>
  <c r="D39" i="117"/>
  <c r="D34" i="139" s="1"/>
  <c r="D37" i="117"/>
  <c r="D32" i="139" s="1"/>
  <c r="G37" i="117"/>
  <c r="G32" i="139" s="1"/>
  <c r="G43" i="117"/>
  <c r="G38" i="139" s="1"/>
  <c r="G33" i="117"/>
  <c r="G35" i="117"/>
  <c r="G30" i="139" s="1"/>
  <c r="G39" i="117"/>
  <c r="G34" i="139" s="1"/>
  <c r="G41" i="117"/>
  <c r="G36" i="139" s="1"/>
  <c r="A29" i="141" l="1"/>
  <c r="Q28" i="141"/>
  <c r="I43" i="117"/>
  <c r="C15" i="22"/>
  <c r="E15" i="22" s="1"/>
  <c r="E19" i="22" s="1"/>
  <c r="E23" i="22" s="1"/>
  <c r="I36" i="139"/>
  <c r="C22" i="114" s="1"/>
  <c r="F22" i="114" s="1"/>
  <c r="I32" i="139"/>
  <c r="C18" i="114" s="1"/>
  <c r="E18" i="114" s="1"/>
  <c r="I30" i="139"/>
  <c r="C16" i="114" s="1"/>
  <c r="E16" i="114" s="1"/>
  <c r="I34" i="139"/>
  <c r="C20" i="114" s="1"/>
  <c r="E20" i="114" s="1"/>
  <c r="I38" i="139"/>
  <c r="C24" i="114" s="1"/>
  <c r="E24" i="114" s="1"/>
  <c r="H45" i="117"/>
  <c r="H28" i="139"/>
  <c r="H40" i="139" s="1"/>
  <c r="D28" i="139"/>
  <c r="D40" i="139" s="1"/>
  <c r="D45" i="117"/>
  <c r="E45" i="117"/>
  <c r="E28" i="139"/>
  <c r="E40" i="139" s="1"/>
  <c r="I39" i="117"/>
  <c r="G45" i="117"/>
  <c r="G28" i="139"/>
  <c r="G40" i="139" s="1"/>
  <c r="F45" i="117"/>
  <c r="F28" i="139"/>
  <c r="F40" i="139" s="1"/>
  <c r="I35" i="117"/>
  <c r="I37" i="117"/>
  <c r="I41" i="117"/>
  <c r="I33" i="117"/>
  <c r="C19" i="22" l="1"/>
  <c r="C23" i="22" s="1"/>
  <c r="A30" i="141"/>
  <c r="Q29" i="141"/>
  <c r="F18" i="114"/>
  <c r="F24" i="114"/>
  <c r="E22" i="114"/>
  <c r="F16" i="114"/>
  <c r="F20" i="114"/>
  <c r="I28" i="139"/>
  <c r="I45" i="117"/>
  <c r="A31" i="141" l="1"/>
  <c r="Q30" i="141"/>
  <c r="I40" i="139"/>
  <c r="C14" i="114"/>
  <c r="A32" i="141" l="1"/>
  <c r="Q31" i="141"/>
  <c r="C27" i="114"/>
  <c r="F27" i="114" s="1"/>
  <c r="E14" i="114"/>
  <c r="E27" i="114" s="1"/>
  <c r="F14" i="114"/>
  <c r="A33" i="141" l="1"/>
  <c r="Q32" i="141"/>
  <c r="A34" i="141" l="1"/>
  <c r="Q33" i="141"/>
  <c r="A35" i="141" l="1"/>
  <c r="Q34" i="141"/>
  <c r="Q35" i="141" l="1"/>
  <c r="A36" i="141"/>
  <c r="Q36" i="141" l="1"/>
  <c r="A37" i="141"/>
  <c r="Q37" i="141" l="1"/>
  <c r="Q38" i="141" l="1"/>
  <c r="A39" i="141"/>
  <c r="Q39" i="141" l="1"/>
  <c r="A40" i="141"/>
  <c r="Q40" i="141" l="1"/>
  <c r="A41" i="141"/>
  <c r="Q41" i="141" l="1"/>
  <c r="A42" i="141"/>
  <c r="A43" i="141" l="1"/>
  <c r="Q42" i="141"/>
  <c r="A44" i="141" l="1"/>
  <c r="Q43" i="141"/>
  <c r="Q44" i="141" l="1"/>
  <c r="A45" i="141"/>
  <c r="A46" i="141" l="1"/>
  <c r="Q45" i="141"/>
  <c r="A47" i="141" l="1"/>
  <c r="Q46" i="141"/>
  <c r="Q47" i="141" l="1"/>
  <c r="A49" i="141" l="1"/>
  <c r="Q48" i="141"/>
  <c r="A50" i="141" l="1"/>
  <c r="Q49" i="141"/>
  <c r="A51" i="141" l="1"/>
  <c r="Q50" i="141"/>
  <c r="Q51" i="141" l="1"/>
  <c r="A52" i="141"/>
  <c r="Q52" i="141" l="1"/>
  <c r="A53" i="141"/>
  <c r="Q53" i="141" l="1"/>
  <c r="A54" i="141"/>
  <c r="Q54" i="14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Tanedo, Lolit</author>
  </authors>
  <commentList>
    <comment ref="C24" authorId="0" shapeId="0" xr:uid="{8ABFDE72-5EAD-4C36-BA09-CCA1F539C9DC}">
      <text>
        <r>
          <rPr>
            <b/>
            <sz val="9"/>
            <color indexed="81"/>
            <rFont val="Tahoma"/>
            <family val="2"/>
          </rPr>
          <t>Tanedo, Lolit:</t>
        </r>
        <r>
          <rPr>
            <sz val="9"/>
            <color indexed="81"/>
            <rFont val="Tahoma"/>
            <family val="2"/>
          </rPr>
          <t xml:space="preserve">
-1 rounding</t>
        </r>
      </text>
    </comment>
    <comment ref="C32" authorId="0" shapeId="0" xr:uid="{A7034EE8-451B-4BB6-A415-E14406CFB4D8}">
      <text>
        <r>
          <rPr>
            <b/>
            <sz val="9"/>
            <color indexed="81"/>
            <rFont val="Tahoma"/>
            <family val="2"/>
          </rPr>
          <t>Tanedo, Lolit:</t>
        </r>
        <r>
          <rPr>
            <sz val="9"/>
            <color indexed="81"/>
            <rFont val="Tahoma"/>
            <family val="2"/>
          </rPr>
          <t xml:space="preserve">
+1 rounding</t>
        </r>
      </text>
    </comment>
  </commentList>
</comments>
</file>

<file path=xl/sharedStrings.xml><?xml version="1.0" encoding="utf-8"?>
<sst xmlns="http://schemas.openxmlformats.org/spreadsheetml/2006/main" count="1180" uniqueCount="533">
  <si>
    <t>Statement BD</t>
  </si>
  <si>
    <t>San Diego Gas &amp; Electric Company</t>
  </si>
  <si>
    <t>Allocation Energy and Supporting Data</t>
  </si>
  <si>
    <t>(A)</t>
  </si>
  <si>
    <t>(B)</t>
  </si>
  <si>
    <t>(C) = (A) - (B)</t>
  </si>
  <si>
    <t>Retail Energy Sales</t>
  </si>
  <si>
    <t>Sale for Resale</t>
  </si>
  <si>
    <t>Line</t>
  </si>
  <si>
    <t>@ Meter Level</t>
  </si>
  <si>
    <t xml:space="preserve">(City of </t>
  </si>
  <si>
    <t>No.</t>
  </si>
  <si>
    <t>Date</t>
  </si>
  <si>
    <t>Plus Sale for Resale</t>
  </si>
  <si>
    <r>
      <t xml:space="preserve">Escondido)  </t>
    </r>
    <r>
      <rPr>
        <b/>
        <vertAlign val="superscript"/>
        <sz val="12"/>
        <rFont val="Times New Roman"/>
        <family val="1"/>
      </rPr>
      <t>1</t>
    </r>
  </si>
  <si>
    <t>Net of Sale for Resale</t>
  </si>
  <si>
    <t>Reference</t>
  </si>
  <si>
    <t>Workpaper No. 1; Page 1.1; Lines 30; 29</t>
  </si>
  <si>
    <t>Total</t>
  </si>
  <si>
    <t>Sum Lines 1 thru 12</t>
  </si>
  <si>
    <t>City of Escondido sales are excluded from the KWh total because they are classified as sales to wholesale customers.</t>
  </si>
  <si>
    <t xml:space="preserve">(B) </t>
  </si>
  <si>
    <t>Workpaper No. 1; Page 1.2; Lines 30; 29</t>
  </si>
  <si>
    <t>City of Escondido sales are excluded from the KWh total because they are classified as sales to wholesale customers not retail.</t>
  </si>
  <si>
    <t>Forecast sales are used to develop Statements BG and BH, Revenues at Proposed Rates and Revenues at Present Rates.</t>
  </si>
  <si>
    <t>SAN DIEGO GAS &amp; ELECTRIC COMPANY</t>
  </si>
  <si>
    <t>MWH SALES FORECAST @ Transmission Level</t>
  </si>
  <si>
    <t>(D) = (C) x  Line 19, Col. C</t>
  </si>
  <si>
    <t xml:space="preserve">Retail Energy </t>
  </si>
  <si>
    <t>Energy Sales</t>
  </si>
  <si>
    <t>Sales</t>
  </si>
  <si>
    <t>@ Transmission</t>
  </si>
  <si>
    <t>Months</t>
  </si>
  <si>
    <t>MWh Sales</t>
  </si>
  <si>
    <t>(City of Escondido)</t>
  </si>
  <si>
    <t>Level</t>
  </si>
  <si>
    <t>Cols. A to C, WP No. 1; Page 1.2; Lines 10, 9 &amp; 12</t>
  </si>
  <si>
    <t>Retail Sales Forecast @ Meter Level</t>
  </si>
  <si>
    <t>Col. C; Line 14</t>
  </si>
  <si>
    <r>
      <t xml:space="preserve">Transmission Loss Factor  </t>
    </r>
    <r>
      <rPr>
        <b/>
        <vertAlign val="superscript"/>
        <sz val="12"/>
        <rFont val="Times New Roman"/>
        <family val="1"/>
      </rPr>
      <t>2</t>
    </r>
  </si>
  <si>
    <t>Column B / Column A</t>
  </si>
  <si>
    <t>Retail Sales Forecast @ Transmission Level</t>
  </si>
  <si>
    <t>Col. D; Line 14</t>
  </si>
  <si>
    <r>
      <t xml:space="preserve">Lake Hodges Pumped Storage Facilities </t>
    </r>
    <r>
      <rPr>
        <b/>
        <vertAlign val="superscript"/>
        <sz val="12"/>
        <rFont val="Times New Roman"/>
        <family val="1"/>
      </rPr>
      <t xml:space="preserve"> 3</t>
    </r>
  </si>
  <si>
    <t>Statement BD WP; Page 4 of 5</t>
  </si>
  <si>
    <r>
      <t xml:space="preserve">Pumped Storage True Up Adjustment </t>
    </r>
    <r>
      <rPr>
        <b/>
        <vertAlign val="superscript"/>
        <sz val="12"/>
        <rFont val="Times New Roman"/>
        <family val="1"/>
      </rPr>
      <t>4</t>
    </r>
  </si>
  <si>
    <t>Statement BD WP; Page 5 of 5</t>
  </si>
  <si>
    <t>Total Gross Load Forecast</t>
  </si>
  <si>
    <t>Sum Lines 22 thru 26</t>
  </si>
  <si>
    <t>This information is used for CAISO TAC purposes as shown in Statement BL -Wholesale. The sales forecast excludes Sale for Resale.</t>
  </si>
  <si>
    <t>The 1.0408 factor is used to convert the retail sales forecast at meter level up to the transmission level.</t>
  </si>
  <si>
    <t>Energy used for pumping at the Lake Hodges Pumped Storage Facilities is measured at 69kV and gets adjusted by a distribution loss factor to derive the Gross Load forecast.</t>
  </si>
  <si>
    <t>Represents the difference between actual and forecast load associated with the Lake Hodges Pumped Storage Facility for the base year.</t>
  </si>
  <si>
    <t>SAN DIEGO GAS AND ELECTRIC COMPANY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</si>
  <si>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</si>
  <si>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</si>
  <si>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</si>
  <si>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</si>
  <si>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</si>
  <si>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</si>
  <si>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</si>
  <si>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</si>
  <si>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</si>
  <si>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</si>
  <si>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</si>
  <si>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</si>
  <si>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Olivenhain-Lake Hodges Pumping Load</t>
  </si>
  <si>
    <t>Primary Level Distribution Loss Factor</t>
  </si>
  <si>
    <t>Total Lake Hodges Pumping Load</t>
  </si>
  <si>
    <t>Lake Hodges Pumping Load Adjustment Mechanism</t>
  </si>
  <si>
    <t>Line No.</t>
  </si>
  <si>
    <t>Description</t>
  </si>
  <si>
    <t>Amount</t>
  </si>
  <si>
    <t xml:space="preserve">Pumped Storage Facility - Actual Load </t>
  </si>
  <si>
    <t>SDG&amp;E Records</t>
  </si>
  <si>
    <t xml:space="preserve">Pumped Storage Facility - Forecast Load </t>
  </si>
  <si>
    <t>Difference</t>
  </si>
  <si>
    <t>Line 1 Minus Line 2</t>
  </si>
  <si>
    <r>
      <t xml:space="preserve">Pumped Storage - True Up Adjustment  </t>
    </r>
    <r>
      <rPr>
        <b/>
        <vertAlign val="superscript"/>
        <sz val="12"/>
        <rFont val="Times New Roman"/>
        <family val="1"/>
      </rPr>
      <t>1</t>
    </r>
  </si>
  <si>
    <t>Line 3 x Line 4</t>
  </si>
  <si>
    <t>The pumped storage True-Up Adjustment reconciles the difference between the prior year's forecast and actual load data.</t>
  </si>
  <si>
    <t>Statement BG</t>
  </si>
  <si>
    <t>Transmission Revenue Balancing Account Adjustment (TRBAA) Revenues Data to Reflect Changed Rates</t>
  </si>
  <si>
    <t>Comparison of Revenues</t>
  </si>
  <si>
    <t>(D) = (C) / (B)</t>
  </si>
  <si>
    <t>(Statement BG)</t>
  </si>
  <si>
    <t>(Statement BH)</t>
  </si>
  <si>
    <t>TRBAA Revenues</t>
  </si>
  <si>
    <t>(%)</t>
  </si>
  <si>
    <t>Customer Classes</t>
  </si>
  <si>
    <t>@ Changed Rates</t>
  </si>
  <si>
    <r>
      <t xml:space="preserve">@ Present Rates </t>
    </r>
    <r>
      <rPr>
        <b/>
        <vertAlign val="superscript"/>
        <sz val="12"/>
        <rFont val="Times New Roman"/>
        <family val="1"/>
      </rPr>
      <t>1</t>
    </r>
  </si>
  <si>
    <t>($) Change</t>
  </si>
  <si>
    <t>Change</t>
  </si>
  <si>
    <t>Residential Customers</t>
  </si>
  <si>
    <t>Statement BG; Page 2 of 4; Line 14</t>
  </si>
  <si>
    <t>Statement BH; Page 1 of 3; Line 14</t>
  </si>
  <si>
    <t>Small Commercial Customers</t>
  </si>
  <si>
    <t>Statement BG; Page 2 of 4; Line 16</t>
  </si>
  <si>
    <t>Statement BH; Page 1 of 3; Line 16</t>
  </si>
  <si>
    <t xml:space="preserve">Medium and Large Commercial/Industrial  </t>
  </si>
  <si>
    <t>Statement BG; Page 2 of 4; Line 18</t>
  </si>
  <si>
    <t>Statement BH; Page 1 of 3; Line 18</t>
  </si>
  <si>
    <t>Agriculture (PA and TOU-PA)</t>
  </si>
  <si>
    <t>Statement BG; Page 2 of 4; Line 20</t>
  </si>
  <si>
    <t>Statement BH; Page 1 of 3; Line 20</t>
  </si>
  <si>
    <t>Agriculture (PA-T-1)</t>
  </si>
  <si>
    <t>Statement BG; Page 2 of 4; Line 22</t>
  </si>
  <si>
    <t>Statement BH; Page 1 of 3; Line 22</t>
  </si>
  <si>
    <t>Street Lighting Customers</t>
  </si>
  <si>
    <t>Statement BG; Page 2 of 4; Line 24</t>
  </si>
  <si>
    <t>Statement BH; Page 1 of 3; Line 24</t>
  </si>
  <si>
    <t xml:space="preserve">     Grand Total</t>
  </si>
  <si>
    <t>Sum Lines 1 through 11</t>
  </si>
  <si>
    <t>(C)</t>
  </si>
  <si>
    <t>(D)</t>
  </si>
  <si>
    <t>(E)</t>
  </si>
  <si>
    <t>(F)</t>
  </si>
  <si>
    <t>(G)</t>
  </si>
  <si>
    <r>
      <t xml:space="preserve">Residential  </t>
    </r>
    <r>
      <rPr>
        <b/>
        <vertAlign val="superscript"/>
        <sz val="12"/>
        <rFont val="Times New Roman"/>
        <family val="1"/>
      </rPr>
      <t>1</t>
    </r>
  </si>
  <si>
    <r>
      <t xml:space="preserve">Small Commercial  </t>
    </r>
    <r>
      <rPr>
        <b/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</t>
    </r>
  </si>
  <si>
    <r>
      <t xml:space="preserve">Medium and Large Commercial/Industrial  </t>
    </r>
    <r>
      <rPr>
        <b/>
        <vertAlign val="superscript"/>
        <sz val="12"/>
        <rFont val="Times New Roman"/>
        <family val="1"/>
      </rPr>
      <t>3</t>
    </r>
  </si>
  <si>
    <r>
      <t xml:space="preserve">Agriculture (PA and TOU-PA)  </t>
    </r>
    <r>
      <rPr>
        <b/>
        <vertAlign val="superscript"/>
        <sz val="12"/>
        <rFont val="Times New Roman"/>
        <family val="1"/>
      </rPr>
      <t>4</t>
    </r>
  </si>
  <si>
    <r>
      <t xml:space="preserve">Agriculture (PA-T-1)  </t>
    </r>
    <r>
      <rPr>
        <b/>
        <vertAlign val="superscript"/>
        <sz val="12"/>
        <rFont val="Times New Roman"/>
        <family val="1"/>
      </rPr>
      <t>5</t>
    </r>
  </si>
  <si>
    <r>
      <t xml:space="preserve">Street Lighting  </t>
    </r>
    <r>
      <rPr>
        <b/>
        <vertAlign val="superscript"/>
        <sz val="12"/>
        <rFont val="Times New Roman"/>
        <family val="1"/>
      </rPr>
      <t>6</t>
    </r>
  </si>
  <si>
    <t>TOTAL</t>
  </si>
  <si>
    <t>1</t>
  </si>
  <si>
    <t>See Stmt BG pages 3 of 4 and 4 of 4, Line 23.</t>
  </si>
  <si>
    <t>See Stmt BG pages 3 of 4 and 4 of 4, Line 29.</t>
  </si>
  <si>
    <t>See Stmt BG pages 3 of 4 and 4 of 4, Line 25.</t>
  </si>
  <si>
    <t>See Stmt BG pages 3 of 4 and 4 of 4, Line 31.</t>
  </si>
  <si>
    <t>See Stmt BG pages 3 of 4 and 4 of 4, Line 27.</t>
  </si>
  <si>
    <t>See Stmt BG pages 3 of 4 and 4 of 4, Line 33.</t>
  </si>
  <si>
    <t>Energy (kWh)</t>
  </si>
  <si>
    <t>Workpaper No. 1; Page 1.2; Line 23</t>
  </si>
  <si>
    <t xml:space="preserve">Small Commercial </t>
  </si>
  <si>
    <t>Workpaper No. 1; Page 1.2; Line 24</t>
  </si>
  <si>
    <t>Workpaper No. 1; Page 1.2; Line 25</t>
  </si>
  <si>
    <t>Workpaper No. 1; Page 1.2; Line 26</t>
  </si>
  <si>
    <t>Workpaper No. 1; Page 1.2; Line 27</t>
  </si>
  <si>
    <t>Street Lighting</t>
  </si>
  <si>
    <t>Workpaper No. 1; Page 1.2; Line 28</t>
  </si>
  <si>
    <t>Sum Lines 1 thru 11</t>
  </si>
  <si>
    <t>$/(kWh)</t>
  </si>
  <si>
    <t>Retail TRBAA Rate ($/kWh) @ Changed Rate</t>
  </si>
  <si>
    <t>Statement BL (Retail); Page 1; Line 27</t>
  </si>
  <si>
    <t>Revenues @ Changed Rates</t>
  </si>
  <si>
    <t>Line 1 x Line 18</t>
  </si>
  <si>
    <t>Line 3 x Line 18</t>
  </si>
  <si>
    <t>Line 5 x Line 18</t>
  </si>
  <si>
    <t>Line 7 x Line 18</t>
  </si>
  <si>
    <t>Line 9 x Line 18</t>
  </si>
  <si>
    <t>Line 11 x Line 18</t>
  </si>
  <si>
    <t>Sum Lines 23 through 33</t>
  </si>
  <si>
    <t>(H)</t>
  </si>
  <si>
    <t>(I)</t>
  </si>
  <si>
    <t>(J)</t>
  </si>
  <si>
    <t>(K)</t>
  </si>
  <si>
    <t>(L)</t>
  </si>
  <si>
    <t>(M)</t>
  </si>
  <si>
    <t>(N)</t>
  </si>
  <si>
    <t>(O)</t>
  </si>
  <si>
    <t xml:space="preserve">   TOTAL</t>
  </si>
  <si>
    <t>Statement BH</t>
  </si>
  <si>
    <t>See Stmt BH pages 2 of 3 and 3 of 3, Line 23.</t>
  </si>
  <si>
    <t>See Stmt BH pages 2 of 3 and 3 of 3, Line 29.</t>
  </si>
  <si>
    <t>See Stmt BH pages 2 of 3 and 3 of 3, Line 25.</t>
  </si>
  <si>
    <t>See Stmt BH pages 2 of 3 and 3 of 3, Line 31.</t>
  </si>
  <si>
    <t>See Stmt BH pages 2 of 3 and 3 of 3, Line 27.</t>
  </si>
  <si>
    <t>See Stmt BH pages 2 of 3 and 3 of 3, Line 33.</t>
  </si>
  <si>
    <t>Retail TRBAA Rate ($/kWh) @ Present Rate</t>
  </si>
  <si>
    <t>TRBAA @ Present Rates</t>
  </si>
  <si>
    <t>Statement BK-1</t>
  </si>
  <si>
    <t>Total Retail TRBAA Forecast - Including Franchise Fees &amp; Uncollectible Expense</t>
  </si>
  <si>
    <t>Components</t>
  </si>
  <si>
    <t xml:space="preserve">Retail - TRBAA </t>
  </si>
  <si>
    <t>Work paper No. 4; Page 4.4; Line 32</t>
  </si>
  <si>
    <t>Transmission Revenue Credits Forecast:</t>
  </si>
  <si>
    <t xml:space="preserve">   Wheeling Revenues </t>
  </si>
  <si>
    <t>Work paper No. 7; Page 7.1; Line 27</t>
  </si>
  <si>
    <t xml:space="preserve">   Settlements, Metering and Client Relations </t>
  </si>
  <si>
    <t>Work paper No. 8; Page 8.1; Line 27</t>
  </si>
  <si>
    <t xml:space="preserve">   Existing Transmission Contract (ETC) Cost Differentials</t>
  </si>
  <si>
    <t>Work paper No. 9; Page 9.1; Line 27</t>
  </si>
  <si>
    <t xml:space="preserve">   Other PTO Related Revenue (Credits)/Charges</t>
  </si>
  <si>
    <t>Work paper No. 11; Page 11.1; Line 27</t>
  </si>
  <si>
    <t>Total Transmission Revenue Credits Forecast</t>
  </si>
  <si>
    <t>Sum {Line 5 thru Line 11}</t>
  </si>
  <si>
    <t>Total TRBAA Before Franchise Fees and Uncollectibles</t>
  </si>
  <si>
    <t>Line 1 + Line 13</t>
  </si>
  <si>
    <t xml:space="preserve">   Franchise Fees Expense @ 1.0275%</t>
  </si>
  <si>
    <t>Line 15 x 1.0275%</t>
  </si>
  <si>
    <t>Total Franchise Fees and Uncollectible</t>
  </si>
  <si>
    <t>Line 17 + Line 19</t>
  </si>
  <si>
    <t>Total Retail TRBAA Forecast Including FF&amp;U</t>
  </si>
  <si>
    <t>Line 15 + Line 21</t>
  </si>
  <si>
    <t>Statement BK-2</t>
  </si>
  <si>
    <t>Wholesale Customers - HVTRR &amp; LVTRR Calculation</t>
  </si>
  <si>
    <t>(C) = (A) + (B)</t>
  </si>
  <si>
    <t>HIGH VOLTAGE</t>
  </si>
  <si>
    <t>LOW VOLTAGE</t>
  </si>
  <si>
    <t>Transmission</t>
  </si>
  <si>
    <t>Transmission Revenue</t>
  </si>
  <si>
    <t xml:space="preserve">Revenue </t>
  </si>
  <si>
    <t>Requirements</t>
  </si>
  <si>
    <r>
      <t xml:space="preserve">Wholesale Base Transmission Revenue Requirement  </t>
    </r>
    <r>
      <rPr>
        <b/>
        <vertAlign val="superscript"/>
        <sz val="12"/>
        <rFont val="Times New Roman"/>
        <family val="1"/>
      </rPr>
      <t>1</t>
    </r>
  </si>
  <si>
    <t>See Note 1</t>
  </si>
  <si>
    <t>Work paper No. 2 Page 2.1; Line 15</t>
  </si>
  <si>
    <t xml:space="preserve">   Wheeling Revenues</t>
  </si>
  <si>
    <t>Work paper No. 6; Page 6.1; Line 19</t>
  </si>
  <si>
    <t xml:space="preserve">   Settlements, Metering and Client Relations</t>
  </si>
  <si>
    <t>Work paper No. 6; Page 6.1; Line 26</t>
  </si>
  <si>
    <t xml:space="preserve">   ETC Cost Differentials</t>
  </si>
  <si>
    <t>Work paper No. 6; Page 6.1; Line 32</t>
  </si>
  <si>
    <t>Work paper No. 6; Page 6.1; Line 42</t>
  </si>
  <si>
    <t>Sum {Line 7 through Line 13}</t>
  </si>
  <si>
    <t>Total Wholesale TRBAA Before Franchise Fees</t>
  </si>
  <si>
    <t xml:space="preserve">Line 3 + Line 15 </t>
  </si>
  <si>
    <t>Line 17 x 1.0275%</t>
  </si>
  <si>
    <t>Total Wholesale TRBAA Forecast Including Franchise Fees</t>
  </si>
  <si>
    <r>
      <t>Transmission Standby Revenues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 xml:space="preserve"> 2</t>
    </r>
  </si>
  <si>
    <t>Work paper No. 3; Page 3.1; Line 7</t>
  </si>
  <si>
    <t>Wholesale Transmission Revenue Requirement</t>
  </si>
  <si>
    <t>Line 1 + Line 21 + Line 23</t>
  </si>
  <si>
    <t>Statement BL</t>
  </si>
  <si>
    <t>Retail TRBAA Rate Calculation</t>
  </si>
  <si>
    <t>Sum {Line 5 through Line 11}</t>
  </si>
  <si>
    <t>Statement BD; Pg. 1 of 5; Col. C; Ln. 15</t>
  </si>
  <si>
    <t>Retail TRBAA Rate ($/kWh)</t>
  </si>
  <si>
    <t>Line 23 / Line 25</t>
  </si>
  <si>
    <t>High Voltage &amp; Low Voltage Component</t>
  </si>
  <si>
    <t>Combined</t>
  </si>
  <si>
    <t>High Voltage</t>
  </si>
  <si>
    <t>Low Voltage</t>
  </si>
  <si>
    <t>TRR</t>
  </si>
  <si>
    <t>Notes &amp; Reference</t>
  </si>
  <si>
    <r>
      <t xml:space="preserve">Total Wholesale TRBAA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</si>
  <si>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t>Statement BK-2; Page 1; Line 21</t>
  </si>
  <si>
    <r>
      <t xml:space="preserve">Transmission Standby Revenue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</si>
  <si>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t>See Note 3</t>
  </si>
  <si>
    <t>Wholesale Transmission Revenue Requirements</t>
  </si>
  <si>
    <t>Sum ( Lines 1, 3, &amp; 5 )</t>
  </si>
  <si>
    <t>Gross Load - MWh</t>
  </si>
  <si>
    <t>Utility Specific Access Charges ($/MWh)</t>
  </si>
  <si>
    <t>Line 7 / Line 9</t>
  </si>
  <si>
    <t>NOTES:</t>
  </si>
  <si>
    <t>The Wholesale TRBAA amount comes from the instant filing, in Statement BK-2; Page 1; Line 21</t>
  </si>
  <si>
    <t>San Diego Gas &amp; Electric Co.</t>
  </si>
  <si>
    <t>System Delivery Determinants</t>
  </si>
  <si>
    <t>Customer Class Deliveries (MWh)</t>
  </si>
  <si>
    <t>Residential</t>
  </si>
  <si>
    <t>Small Commercial</t>
  </si>
  <si>
    <t>Med. &amp; Large Comm./Ind.</t>
  </si>
  <si>
    <t>Agriculture (PA)</t>
  </si>
  <si>
    <t>Lighting</t>
  </si>
  <si>
    <t>Total System</t>
  </si>
  <si>
    <t>Total System - EXCLUDING Sale for Resale</t>
  </si>
  <si>
    <t>INPUT FROM RECORDED SALES FILE:</t>
  </si>
  <si>
    <t>Medium &amp; Large Details - Deliveries in MWH:</t>
  </si>
  <si>
    <t>Med &amp; Large C/I (AD)</t>
  </si>
  <si>
    <t>Med &amp; Large C/I (AL+AY+DGR)</t>
  </si>
  <si>
    <t>Med &amp; Large C/I (A6)</t>
  </si>
  <si>
    <t>San Diego Gas &amp; Electric</t>
  </si>
  <si>
    <t>Customer Class Deliveries (kWh)</t>
  </si>
  <si>
    <t>Medium &amp; Large Details - Deliveries in kWh:</t>
  </si>
  <si>
    <t xml:space="preserve">Med. &amp; Large Comm./Ind. </t>
  </si>
  <si>
    <t>INPUT FROM FORECAST INFORMATION:</t>
  </si>
  <si>
    <t>Allocation Of Beginning TRBAA Balance Based on Forecast Balances</t>
  </si>
  <si>
    <t>Beginning</t>
  </si>
  <si>
    <t>TRBAA Balance</t>
  </si>
  <si>
    <t>TRBAA</t>
  </si>
  <si>
    <t>Forecast - Wheeling Revenues</t>
  </si>
  <si>
    <t>Forecast - Settlements, Metering and Client Relations</t>
  </si>
  <si>
    <t>Forecast - ETC Cost Differentials</t>
  </si>
  <si>
    <t>Forecast - Other PTO Related Revenue (Credits)/Charges</t>
  </si>
  <si>
    <t>Sum Lines 3 through 9</t>
  </si>
  <si>
    <t>Allocation Factors Based on Revenue Credit Forecast</t>
  </si>
  <si>
    <t>Ratios Per Line 11</t>
  </si>
  <si>
    <r>
      <t xml:space="preserve">Allocation of Beginning TRBAA Balance  </t>
    </r>
    <r>
      <rPr>
        <b/>
        <vertAlign val="superscript"/>
        <sz val="12"/>
        <rFont val="Times New Roman"/>
        <family val="1"/>
      </rPr>
      <t>1</t>
    </r>
  </si>
  <si>
    <t>Column (A) Line 1 x Line 13</t>
  </si>
  <si>
    <t>The beginning TRBAA balance on line 1, Column (A), is allocated between High Voltage and Low Voltage, using the ratios that were developed on line 13.</t>
  </si>
  <si>
    <t>Standby Revenues</t>
  </si>
  <si>
    <t>(1)</t>
  </si>
  <si>
    <t>(2)</t>
  </si>
  <si>
    <t>(3) = (1) + (2)</t>
  </si>
  <si>
    <t>Combined TRR</t>
  </si>
  <si>
    <t xml:space="preserve">Total Standby Revenues  </t>
  </si>
  <si>
    <t>See Note 2</t>
  </si>
  <si>
    <t>HV-LV Allocation Factors</t>
  </si>
  <si>
    <t>Ratios Based on Line 2</t>
  </si>
  <si>
    <t>Total HV-LV Standby Revenue Credits</t>
  </si>
  <si>
    <t xml:space="preserve">Col. 3; Line 1 x Line 5 Ratios </t>
  </si>
  <si>
    <t>October</t>
  </si>
  <si>
    <t>November</t>
  </si>
  <si>
    <t>December</t>
  </si>
  <si>
    <t>January</t>
  </si>
  <si>
    <t>February</t>
  </si>
  <si>
    <t>March</t>
  </si>
  <si>
    <t>April</t>
  </si>
  <si>
    <t>August</t>
  </si>
  <si>
    <t>September</t>
  </si>
  <si>
    <t>Beginning Balance (Overcollection)/Undercollection</t>
  </si>
  <si>
    <t>Previous Month's Balance</t>
  </si>
  <si>
    <t>TRBAA Refund</t>
  </si>
  <si>
    <t xml:space="preserve">   Kwh (Excluding Sales for Resale).</t>
  </si>
  <si>
    <t>Work Paper No. 1; Page 1.1; Line 32</t>
  </si>
  <si>
    <t xml:space="preserve">   TRBAA Rate</t>
  </si>
  <si>
    <t xml:space="preserve">        Total TRBAA Refund Including Franchise Fees &amp; Uncollectibles</t>
  </si>
  <si>
    <t>Line 4 x Line 5</t>
  </si>
  <si>
    <t xml:space="preserve">   Franchise Fees &amp; Uncollectible Expense Adjustment</t>
  </si>
  <si>
    <t>(Line 6 / (1+ Line 38)) * Line 38</t>
  </si>
  <si>
    <t xml:space="preserve">   TRBAA Refunds/Collections Excluding Uncollectibles</t>
  </si>
  <si>
    <t>Line 6 - Line 7</t>
  </si>
  <si>
    <t>PTO Related - ISO Charge Types:</t>
  </si>
  <si>
    <t xml:space="preserve">    CT 384/ CT 382 - HV Wheeling Revenues Due TO/Due ISO (Net)</t>
  </si>
  <si>
    <t>Work Paper No. 5; Page 5.1-5.2; Line 4</t>
  </si>
  <si>
    <t xml:space="preserve">    CT 4575 - Settlements, Metering, Client Relations </t>
  </si>
  <si>
    <t>Work Paper No. 5; Page 5.1-5.2; Line 7</t>
  </si>
  <si>
    <t xml:space="preserve">    ETC Cost Differentials</t>
  </si>
  <si>
    <t>Work Paper No. 5; Page 5.1-5.2; Line 10</t>
  </si>
  <si>
    <t xml:space="preserve">    Other PTO Related Revenue (Credits)/Charges</t>
  </si>
  <si>
    <t>Work Paper No. 5; Page 5.1-5.2; Line 13</t>
  </si>
  <si>
    <t xml:space="preserve">          Sub-Total Monthly PTO Related Activity</t>
  </si>
  <si>
    <t>Sum Lines 11 thru 14</t>
  </si>
  <si>
    <t>Other CAISO Adjustment</t>
  </si>
  <si>
    <t xml:space="preserve">          Sub-Total Adjustment</t>
  </si>
  <si>
    <t>Sum Line 17</t>
  </si>
  <si>
    <t xml:space="preserve">               Total </t>
  </si>
  <si>
    <t>Sum Lines 15; 18</t>
  </si>
  <si>
    <t>Net Monthly Activity (Net Refunds, Revenues, Expenses, &amp; Adjustments)</t>
  </si>
  <si>
    <t>Interest Expense Calculations:</t>
  </si>
  <si>
    <t xml:space="preserve">      Beginning Balance for Interest Calculation</t>
  </si>
  <si>
    <t xml:space="preserve">      Monthly Activity Included in Interest Calculation Basis</t>
  </si>
  <si>
    <t>Interest Calculation Basis</t>
  </si>
  <si>
    <t xml:space="preserve">      Basis for Interest Expense Calculation</t>
  </si>
  <si>
    <t>Line 24 + Line 25</t>
  </si>
  <si>
    <t xml:space="preserve">      Monthly Interest Rate</t>
  </si>
  <si>
    <t>FERC Monthly Rates</t>
  </si>
  <si>
    <t xml:space="preserve">         Interest Expense</t>
  </si>
  <si>
    <t>Line 26 x Line 27</t>
  </si>
  <si>
    <t>Other Adjustment (rounding)</t>
  </si>
  <si>
    <t>Ending Balance (Overcollection)/Undercollection</t>
  </si>
  <si>
    <t>Line 1 + Line 21 + Line 28 + Line 30</t>
  </si>
  <si>
    <t>Franchise Fees &amp; Uncollectible Adjustment:</t>
  </si>
  <si>
    <t>Franchise Fees Expense Rate</t>
  </si>
  <si>
    <t>Uncollectible Expense Adjustment Rate</t>
  </si>
  <si>
    <t xml:space="preserve">     Combined FF&amp;U Adjustment Rate</t>
  </si>
  <si>
    <t>Line 36 + Line 37</t>
  </si>
  <si>
    <t>FF&amp;U Per ER20-503-000 (2020 Rates):</t>
  </si>
  <si>
    <t>Franchise Fee Rate</t>
  </si>
  <si>
    <t>Uncollectible Rate</t>
  </si>
  <si>
    <t xml:space="preserve">      Total</t>
  </si>
  <si>
    <t>Total Rate</t>
  </si>
  <si>
    <t>Verification of Interest Rates</t>
  </si>
  <si>
    <t>FERC INTEREST RATE</t>
  </si>
  <si>
    <t>Days in Year</t>
  </si>
  <si>
    <t>Days in Month</t>
  </si>
  <si>
    <t>Monthly Interest Rate - Calculated</t>
  </si>
  <si>
    <t>FERC Interest Rates - Website</t>
  </si>
  <si>
    <t>FOOTNOTES to Monthly TRBAA Balance:</t>
  </si>
  <si>
    <r>
      <t xml:space="preserve"> </t>
    </r>
    <r>
      <rPr>
        <b/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  The Franchise Fees and Uncollectible expense amount adjustment are removed from the amount collected from/(refunded) to customers to properly balance in the TRBAA mechanism only the approved revenue credits and CAISO charges.</t>
    </r>
  </si>
  <si>
    <r>
      <t xml:space="preserve"> </t>
    </r>
    <r>
      <rPr>
        <b/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  Existing Transmission Contract (ETC) Cost Differentials related to APS-IID pertains to SDG&amp;E as the Scheduling Coordinator for Arizona Public Service - Imperial Irrigation District ("APS-IID") (See Work Paper No. 5; Pages 5.1 - 5.2; Line 10).</t>
    </r>
  </si>
  <si>
    <r>
      <rPr>
        <b/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   Other Participating Transmission Owner (PTO) Related (Credits)/Charges include CAISO charge codes 1592, 7989, 7999, 8526, 8989, and 8999. These charges are segregated out of the ETC Cost Differentials category and classified as Other PTO related (Credits)/Charges to enhance reporting transparency. Each account has a different allocation method specified by CAISO.</t>
    </r>
  </si>
  <si>
    <t>High Voltage Wheeling Revenues:</t>
  </si>
  <si>
    <t xml:space="preserve">      CT 384 - HV Wheeling Revenues Due TO</t>
  </si>
  <si>
    <t>ISO Charge Type 384</t>
  </si>
  <si>
    <t xml:space="preserve">      CT 382 - HV Wheeling Charge Due ISO </t>
  </si>
  <si>
    <t>ISO Charge Type 382</t>
  </si>
  <si>
    <t xml:space="preserve">            Net </t>
  </si>
  <si>
    <t>CT 4575 - Settlements, Metering, &amp; Client Relations (SDGE-PTO)</t>
  </si>
  <si>
    <t>ISO Charge Type 4575</t>
  </si>
  <si>
    <t>ETC Cost Differentials from CAISO</t>
  </si>
  <si>
    <t>Other PTO Related Revenue (Credits)/Charges</t>
  </si>
  <si>
    <t>Check:</t>
  </si>
  <si>
    <t>Total Per TRBAA Details (From Regulatory Reporting)</t>
  </si>
  <si>
    <t>Summary of TRBAA Forecast Allocation Between High Voltage and Low Voltage Facilities</t>
  </si>
  <si>
    <t>HV-LV Allocation Factors:</t>
  </si>
  <si>
    <t>A. Development of Allocation Factors:</t>
  </si>
  <si>
    <t xml:space="preserve">   Total Recorded &amp; Forecast Gross Plant Balances; Dollars in ($000)</t>
  </si>
  <si>
    <t>Line 5 + Line 7</t>
  </si>
  <si>
    <t>High Voltage - Low Voltage Ratios Based on Gross Plant; Per Line 9</t>
  </si>
  <si>
    <t>Allocation Ratios Based on Line 9</t>
  </si>
  <si>
    <t>B. Allocation of High Voltage Wheeling Revenues:</t>
  </si>
  <si>
    <t>Work paper No.7; Page 7.1; Line 27</t>
  </si>
  <si>
    <t xml:space="preserve">HV - Allocation Ratio is NOT Based on Plant as shown on Line 11 </t>
  </si>
  <si>
    <t>Wheeling Revenues are assigned 100% to High Voltage facilities</t>
  </si>
  <si>
    <t>Total HV-LV Wheeling Revenues Allocation</t>
  </si>
  <si>
    <t>Line 15 x Line 17</t>
  </si>
  <si>
    <t>C. Forecast of Settlements, Metering, &amp; Client Relations Expense:</t>
  </si>
  <si>
    <t>Work paper No. 8; Page 8.1, Line 27</t>
  </si>
  <si>
    <t>Adjusted for Known and Measurable Changes.</t>
  </si>
  <si>
    <t>Total Settlements, Metering, &amp; Client Relations Allocation</t>
  </si>
  <si>
    <t>Col. C; Line 23 x Line 11 Ratios</t>
  </si>
  <si>
    <t>D: Forecast of ETC Cost Differentials Expense:</t>
  </si>
  <si>
    <t>Work paper No. 9; Page 9.1, Line 27</t>
  </si>
  <si>
    <t>Total ETC Cost Differentials Allocation</t>
  </si>
  <si>
    <t>Col. C; Line 30 x Line 11 Ratios</t>
  </si>
  <si>
    <t>E: Forecast of Other PTO Related Revenue (Credits)/Charges:</t>
  </si>
  <si>
    <t>Less: CC 8526 HV/LV specific allocation per CAISO</t>
  </si>
  <si>
    <t>WP No. 12; Page 12.1, footnotes (b) and (c) explanation on the HV/LV allocation per CAISO</t>
  </si>
  <si>
    <t>Net Other PTO Related Revenue (Credits)/Charges HV/LV Allocation</t>
  </si>
  <si>
    <t>Col. C, Line 36 x Line 11 Ratios</t>
  </si>
  <si>
    <t>Total Other PTO Related Revenue (Credits)/Charges Allocation</t>
  </si>
  <si>
    <t>Line 38 + Line 40</t>
  </si>
  <si>
    <t>Wheeling Revenues Forecast</t>
  </si>
  <si>
    <t xml:space="preserve">High Voltage </t>
  </si>
  <si>
    <t>Wheeling Revenues</t>
  </si>
  <si>
    <t>No</t>
  </si>
  <si>
    <t>Actual Recorded Month</t>
  </si>
  <si>
    <t>(384)/(382)-Net</t>
  </si>
  <si>
    <t>(385)</t>
  </si>
  <si>
    <t>Work paper No. 5; Page 5.1 and 5.2; Line 4</t>
  </si>
  <si>
    <t>Total Recorded</t>
  </si>
  <si>
    <t>Sum Lines 1 to 23</t>
  </si>
  <si>
    <t>Wheeling Revenue Forecast</t>
  </si>
  <si>
    <t>See Line 25</t>
  </si>
  <si>
    <t>CAISO Charge Code 4575 - Settlements, Metering and Client Relations Charge Code 4575 Forecast</t>
  </si>
  <si>
    <t xml:space="preserve">Settlements, Metering, and Client Relations Charge Code - 4575 </t>
  </si>
  <si>
    <t>Work paper No. 5; Page 5.1 and 5.2; Line 7</t>
  </si>
  <si>
    <r>
      <t xml:space="preserve">Settlements, Metering and Client Relations Charge Code - 4575 Forecast  </t>
    </r>
    <r>
      <rPr>
        <b/>
        <vertAlign val="superscript"/>
        <sz val="12"/>
        <rFont val="Times New Roman"/>
        <family val="1"/>
      </rPr>
      <t>a</t>
    </r>
  </si>
  <si>
    <t>a</t>
  </si>
  <si>
    <t>CAISO Settlements, Metering and Client Relations forecast is based on the recorded rates under MRTU.</t>
  </si>
  <si>
    <t xml:space="preserve">The monthly amounts represent the amount charged to SDG&amp;E as a PTO. A similar amount is charged to SDG&amp;E as the Scheduling </t>
  </si>
  <si>
    <t>Coordinator for APS-IID where the amount is included as part of ETC Cost Differentials.</t>
  </si>
  <si>
    <t>Existing Transmission Contracts (ETC) Cost Differentials Forecast</t>
  </si>
  <si>
    <t xml:space="preserve">Existing Transmission Contracts (ETC) Cost Differentials  </t>
  </si>
  <si>
    <t>Work paper No. 5; Page 5.1 and 5.2; Line 10</t>
  </si>
  <si>
    <t>Charge Type</t>
  </si>
  <si>
    <t>ETC Cost Differentials Charge Types</t>
  </si>
  <si>
    <t>EP Penalty Allocation Payment</t>
  </si>
  <si>
    <t>Day Ahead Energy Congestion Loss Management</t>
  </si>
  <si>
    <t>Ancillary Service Upward Neutrality Allocation</t>
  </si>
  <si>
    <t>Spinning Reserve Obligation Settlement</t>
  </si>
  <si>
    <t>Non-Spinning Reserve Obligation Settlement</t>
  </si>
  <si>
    <t>Intertie Deviation Settlement Allocation</t>
  </si>
  <si>
    <t>Real Time System Imbalance Energy Offset</t>
  </si>
  <si>
    <t>Monthly CRRBA Clearing</t>
  </si>
  <si>
    <t>Real Time Market Congestion Credit Settlement</t>
  </si>
  <si>
    <t>CRR Accrued Interest Allocation</t>
  </si>
  <si>
    <t>IFM Marginal Losses Surplus Credit Allocation- Prelim</t>
  </si>
  <si>
    <t>Allocation of Transmission Loss Obligation Charge for Real Time Schedule Under Control Agreement</t>
  </si>
  <si>
    <t>Flexible Ramp Forecasted Movement Settlement</t>
  </si>
  <si>
    <t>Monthly Flexible Ramp Up Uncertainty Award Allocation</t>
  </si>
  <si>
    <t>Invoice Deviation Interest Distribution</t>
  </si>
  <si>
    <t>Generator Interconnection Process Forfeited Deposit Allocation</t>
  </si>
  <si>
    <t>TRBAA Expenses</t>
  </si>
  <si>
    <t>0525</t>
  </si>
  <si>
    <t>FERC Fees Under/Over Recovery</t>
  </si>
  <si>
    <t>0550</t>
  </si>
  <si>
    <t>FERC Fees</t>
  </si>
  <si>
    <t>Bid Segment Fee</t>
  </si>
  <si>
    <t>GMC - Market Services Charge</t>
  </si>
  <si>
    <t>GMC - System Operations Charge</t>
  </si>
  <si>
    <t>GMC - Transmission Ownership Rights</t>
  </si>
  <si>
    <t>Settlements, Metering, Client Relations</t>
  </si>
  <si>
    <t>Spinning Reserve Neutrality Allocation</t>
  </si>
  <si>
    <t>Non-Spinning Reserve Neutrality Allocation</t>
  </si>
  <si>
    <t>Intertie Deviation Settlement</t>
  </si>
  <si>
    <t>FMM Instructed Imbalance Energy Settlement</t>
  </si>
  <si>
    <t>Real Time Instructed Imbalance Energy Settlement</t>
  </si>
  <si>
    <t>Real Time Imbalance Energy Offset</t>
  </si>
  <si>
    <t>6484</t>
  </si>
  <si>
    <t>Hour-Ahead Scheduling Process Uplift Settlement Allocation</t>
  </si>
  <si>
    <t>IFM Bid Cost Recovery Tier 1 Allocation</t>
  </si>
  <si>
    <t>Real Time Bid Cost Recovery Allocation</t>
  </si>
  <si>
    <t>Real Time Congestion Offset</t>
  </si>
  <si>
    <t>CRR Balancing Account</t>
  </si>
  <si>
    <t>Real Time Marginal Losses Offset</t>
  </si>
  <si>
    <t>Daily Flexible Ramp Up Uncertainty Award Allocation</t>
  </si>
  <si>
    <t>Daily Flexible Ramp Down Uncertainty Award Allocation</t>
  </si>
  <si>
    <t>Monthly Flexible Ramp Down Uncertainty Award Allocation</t>
  </si>
  <si>
    <t>Invoice Deviation Interest Allocation</t>
  </si>
  <si>
    <t>Grand Total</t>
  </si>
  <si>
    <t>Per TRBAA Schedule; Workpaper 4.1 to 4.4; Line 13</t>
  </si>
  <si>
    <t>Other PTO Related Revenue (Credits) / Charge Forecast</t>
  </si>
  <si>
    <t xml:space="preserve">Other PTO Related Revenue (Credits)/Charges </t>
  </si>
  <si>
    <t>Work paper No. 5; Page 5.1 and 5.2; Line 13</t>
  </si>
  <si>
    <t>Other PTO Related Revenue (Credits) / Charges Forecast</t>
  </si>
  <si>
    <r>
      <t xml:space="preserve">Other PTO Related Revenue (Credits)/Charge Types  </t>
    </r>
    <r>
      <rPr>
        <b/>
        <vertAlign val="superscript"/>
        <sz val="14"/>
        <rFont val="Times New Roman"/>
        <family val="1"/>
      </rPr>
      <t>a</t>
    </r>
  </si>
  <si>
    <t>b</t>
  </si>
  <si>
    <t>Neutrality Adjustment</t>
  </si>
  <si>
    <t>Daily Neutrality Adjustment</t>
  </si>
  <si>
    <t>Adjusted Total Other PTO Related Revenue (Credits)/Charges - Line 13 above</t>
  </si>
  <si>
    <t>Per TRBAA Schedule; Workpaper 4.1 to 4.4; Line 14</t>
  </si>
  <si>
    <t>Other Participating Transmission Owner (PTO) Related (Credits)/Charges include CAISO charge codes 1592, 7989, 7999, 8526, 8989, and 8999. The segregation of these charges and classifying them as Other PTO Related (Credits)/Charges enhances reporting transparency.</t>
  </si>
  <si>
    <t>2023 - TRBAA Rate Filing</t>
  </si>
  <si>
    <t>Recorded Billing Determinants for the 12-Month Period: October 2021 - September 2022</t>
  </si>
  <si>
    <t>Forecast Billing Determinants for the 12-Month Period: January 2023- December 2023</t>
  </si>
  <si>
    <t>San Diego Unified Port District</t>
  </si>
  <si>
    <t>TRBAA Balance @ 9/30/2022</t>
  </si>
  <si>
    <t>Forecast 2023 - Net Transmission Revenue Credits</t>
  </si>
  <si>
    <t>Forecast Period January 2023 - December 2023</t>
  </si>
  <si>
    <t>2023 (MWh)</t>
  </si>
  <si>
    <t>For the 12-Month Base &amp; True Up Period Ending December 31, 2021</t>
  </si>
  <si>
    <t>Rate Effective Period - Twelve Months Ending December 31, 2023</t>
  </si>
  <si>
    <t>Present Rates are defined as rates effective pursuant to ER22-258.</t>
  </si>
  <si>
    <t>Transmission Revenue Balancing Account Adjustment (TRBAA) Revenue Data To Reflect Present Rates per ER22-258</t>
  </si>
  <si>
    <t>FERC Docket No. ER22-258-000</t>
  </si>
  <si>
    <t>Beginning TRBAA Balance @ 9/30/2022</t>
  </si>
  <si>
    <t>Wholesale Base TRR information comes from Cost Statement BK-2 of SDG&amp;E's TO5 Cycle 5 Annual Informational Filing.</t>
  </si>
  <si>
    <t>12 Months kWh Ending September 30, 2022</t>
  </si>
  <si>
    <t>2023 - Wholesale Customers Utility Specific Access Charge Rate Calculations</t>
  </si>
  <si>
    <t xml:space="preserve">TO5-Cycle 5 Informational Filing-Wholesale Base TRR  </t>
  </si>
  <si>
    <t>Wholesale Base TRR information comes from SDG&amp;E's TO5 Cycle 5 Annual Informational Filing.</t>
  </si>
  <si>
    <t>Average TRBAA Rate Calculation for January 2022:</t>
  </si>
  <si>
    <t xml:space="preserve">   Prior Year - TRBAA Rate 2021</t>
  </si>
  <si>
    <t xml:space="preserve">   Current Year - TRBAA Rate 2022</t>
  </si>
  <si>
    <t>TO5 Cycle 5 - Recorded Gross Plant Balances; Dollars in ($000)</t>
  </si>
  <si>
    <t>TO5 Cycle 5 - Weighted Forecast Plant Additions; Dollars in ($000)</t>
  </si>
  <si>
    <t>HV-LV Plant Study; Line 38 of SDG&amp;E's TO5 Cycle 5 Annual  Informational Filing</t>
  </si>
  <si>
    <t xml:space="preserve"> Forecast Plant; Line 16 of SDG&amp;E's TO5-Cycle 5 Annual Informational Filing</t>
  </si>
  <si>
    <t>Total Wheeling Revenues Forecast based on recorded HV-LV wheeling revenues ending 9/30/2022</t>
  </si>
  <si>
    <t>Total Settlements, Metering &amp; Client Relations Expense Forecast based on recorded CC4575 ending 9/30/2022</t>
  </si>
  <si>
    <t>Total ETC Cost Differentials Expense Forecast based on recorded other various CAISO charges ending 9/30/2022</t>
  </si>
  <si>
    <t>Total Other PTO Related Revenue (Credits)/Charges based on recorded specific various CAISO charges ending 9/30/2022</t>
  </si>
  <si>
    <t>TRBAA Rates; ER21-301 (Oct - Dec 2021); ER22-258 (Jan - Sep 2022)</t>
  </si>
  <si>
    <t xml:space="preserve">Beg. Monthly Balances </t>
  </si>
  <si>
    <t>FF&amp;U Per FERC ER22-258-000 (2022 Rates) less 0.004% over charge in 2021:</t>
  </si>
  <si>
    <t>So in 2022, the uncollectible rates that should have used 0.1650% was reduced by the 0.004% overcharge from 2021, thus, now using 0.1610% in 2022 (0.1650% - .004% = 0.1610%).</t>
  </si>
  <si>
    <t>2021 should have used 0.1690% but continued to use the 0.1730% from the 2020 rates (over by 0.004%).</t>
  </si>
  <si>
    <t>(a)</t>
  </si>
  <si>
    <t>Minus Line 8 + Line 19</t>
  </si>
  <si>
    <t>Per Cost Statement BB; Page 1; Line 24 of SDG&amp;E's TO5-Cycle 5 Annual Informational Filing.</t>
  </si>
  <si>
    <r>
      <t xml:space="preserve">January 2023 - December 2023 </t>
    </r>
    <r>
      <rPr>
        <b/>
        <vertAlign val="superscript"/>
        <sz val="12"/>
        <rFont val="Times New Roman"/>
        <family val="1"/>
      </rPr>
      <t xml:space="preserve"> 1</t>
    </r>
  </si>
  <si>
    <t>Statement BD; Page 1 of 5; Line 28; Col. D</t>
  </si>
  <si>
    <t xml:space="preserve">   Uncollectibles @ 0.173%</t>
  </si>
  <si>
    <t>Line 15 x 0.173%</t>
  </si>
  <si>
    <t>Adjusted Total ETC Cost Differential - Line 45 above</t>
  </si>
  <si>
    <t>Work Paper 12; Pages 12.1; Line 13</t>
  </si>
  <si>
    <t>Work Paper 10; Pages 10.1 - 10.3; Line 45</t>
  </si>
  <si>
    <t>WP No. 12; Page 12.1, Total Col, Line 13</t>
  </si>
  <si>
    <t>In accordance with the CAISO Tariff Appendix DD, Section 7.6, SDG&amp;E, as a PTO, received $654,047.45 under CAISO Charge Code 8526 in September, 2022, and this was recorded in the TRBA.  Of this amount, $526,832.08 is associated with the High Voltage Transmission Revenue Requirement and $127,215.37 is associated with the Low Voltage Transmission Revenue Requirement.</t>
  </si>
  <si>
    <t>Standby Revenue amount of $18,348,959, from Cost Statement BG; Page 1; Column A; Line 26, of SDG&amp;E's TO5 Cycle 5 Annual Informational Filing.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</si>
</sst>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  <numFmt numFmtId="169" formatCode="0.000%"/>
    <numFmt numFmtId="170" formatCode="0.0000%"/>
    <numFmt numFmtId="171" formatCode="[$-409]mmmm\-yy;@"/>
    <numFmt numFmtId="172" formatCode="&quot;$&quot;#,##0.00000"/>
    <numFmt numFmtId="173" formatCode="0.00000%"/>
    <numFmt numFmtId="174" formatCode="[$-409]mmm\-yy;@"/>
    <numFmt numFmtId="175" formatCode="_(* #,##0.00000_);_(* \(#,##0.00000\);_(* &quot;-&quot;??_);_(@_)"/>
    <numFmt numFmtId="176" formatCode="#,##0.0000000_);[Red]\(#,##0.0000000\)"/>
    <numFmt numFmtId="177" formatCode="_(&quot;$&quot;* #,##0.000000_);_(&quot;$&quot;* \(#,##0.000000\);_(&quot;$&quot;* &quot;-&quot;??_);_(@_)"/>
    <numFmt numFmtId="178" formatCode="mmmm\-yy"/>
    <numFmt numFmtId="179" formatCode="0.0000"/>
    <numFmt numFmtId="180" formatCode="_(* #,##0.00000_);_(* \(#,##0.00000\);_(* &quot;-&quot;_);_(@_)"/>
    <numFmt numFmtId="181" formatCode="0.0%"/>
    <numFmt numFmtId="182" formatCode="_(* #,##0.0000_);_(* \(#,##0.0000\);_(* &quot;-&quot;_);_(@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vertAlign val="superscript"/>
      <sz val="12"/>
      <name val="Times New Roman"/>
      <family val="1"/>
    </font>
    <font>
      <b/>
      <vertAlign val="superscript"/>
      <sz val="12"/>
      <name val="Times New Roman"/>
      <family val="1"/>
    </font>
    <font>
      <sz val="8"/>
      <name val="Arial"/>
      <family val="2"/>
    </font>
    <font>
      <b/>
      <i/>
      <u/>
      <sz val="10"/>
      <name val="Times New Roman"/>
      <family val="1"/>
    </font>
    <font>
      <b/>
      <i/>
      <u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b/>
      <u/>
      <sz val="12"/>
      <name val="Times New Roman"/>
      <family val="1"/>
    </font>
    <font>
      <b/>
      <i/>
      <sz val="13"/>
      <name val="Times New Roman"/>
      <family val="1"/>
    </font>
    <font>
      <vertAlign val="superscript"/>
      <sz val="13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b/>
      <u/>
      <sz val="13"/>
      <name val="Times New Roman"/>
      <family val="1"/>
    </font>
    <font>
      <vertAlign val="superscript"/>
      <sz val="14"/>
      <name val="Times New Roman"/>
      <family val="1"/>
    </font>
    <font>
      <b/>
      <u/>
      <sz val="11"/>
      <name val="Times New Roman"/>
      <family val="1"/>
    </font>
    <font>
      <b/>
      <vertAlign val="superscript"/>
      <sz val="14"/>
      <name val="Times New Roman"/>
      <family val="1"/>
    </font>
    <font>
      <sz val="14"/>
      <name val="Arial"/>
      <family val="2"/>
    </font>
    <font>
      <sz val="10"/>
      <name val="System"/>
      <family val="2"/>
    </font>
    <font>
      <u/>
      <sz val="10"/>
      <name val="Arial"/>
      <family val="2"/>
    </font>
    <font>
      <b/>
      <sz val="10"/>
      <name val="Arial"/>
      <family val="2"/>
    </font>
    <font>
      <i/>
      <u/>
      <sz val="12"/>
      <name val="Times New Roman"/>
      <family val="1"/>
    </font>
    <font>
      <b/>
      <sz val="20"/>
      <name val="Times New Roman"/>
      <family val="1"/>
    </font>
    <font>
      <b/>
      <sz val="13"/>
      <name val="Times New Roman"/>
      <family val="1"/>
    </font>
    <font>
      <b/>
      <sz val="8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 val="double"/>
      <sz val="12"/>
      <name val="Times New Roman"/>
      <family val="1"/>
    </font>
    <font>
      <sz val="12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6" fillId="0" borderId="0"/>
    <xf numFmtId="0" fontId="7" fillId="0" borderId="0"/>
    <xf numFmtId="9" fontId="7" fillId="0" borderId="0" applyFont="0" applyFill="0" applyBorder="0" applyAlignment="0" applyProtection="0"/>
    <xf numFmtId="0" fontId="32" fillId="0" borderId="0"/>
    <xf numFmtId="0" fontId="6" fillId="0" borderId="0"/>
    <xf numFmtId="0" fontId="7" fillId="0" borderId="0"/>
    <xf numFmtId="0" fontId="5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88">
    <xf numFmtId="0" fontId="0" fillId="0" borderId="0" xfId="0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41" fontId="9" fillId="0" borderId="0" xfId="0" applyNumberFormat="1" applyFont="1"/>
    <xf numFmtId="0" fontId="10" fillId="0" borderId="0" xfId="0" applyFont="1" applyAlignment="1">
      <alignment horizontal="centerContinuous" vertical="justify"/>
    </xf>
    <xf numFmtId="0" fontId="8" fillId="0" borderId="0" xfId="0" applyFont="1" applyAlignment="1">
      <alignment horizontal="centerContinuous" vertical="justify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166" fontId="11" fillId="0" borderId="3" xfId="2" applyNumberFormat="1" applyFont="1" applyBorder="1"/>
    <xf numFmtId="44" fontId="11" fillId="0" borderId="2" xfId="2" applyFont="1" applyBorder="1"/>
    <xf numFmtId="166" fontId="11" fillId="0" borderId="2" xfId="0" applyNumberFormat="1" applyFont="1" applyBorder="1"/>
    <xf numFmtId="0" fontId="11" fillId="0" borderId="2" xfId="0" applyFont="1" applyBorder="1"/>
    <xf numFmtId="17" fontId="11" fillId="0" borderId="2" xfId="0" applyNumberFormat="1" applyFont="1" applyBorder="1" applyAlignment="1">
      <alignment horizontal="left"/>
    </xf>
    <xf numFmtId="166" fontId="11" fillId="0" borderId="2" xfId="2" applyNumberFormat="1" applyFont="1" applyBorder="1"/>
    <xf numFmtId="17" fontId="12" fillId="0" borderId="2" xfId="0" applyNumberFormat="1" applyFont="1" applyBorder="1" applyAlignment="1">
      <alignment horizontal="left"/>
    </xf>
    <xf numFmtId="166" fontId="11" fillId="0" borderId="1" xfId="2" applyNumberFormat="1" applyFont="1" applyBorder="1"/>
    <xf numFmtId="0" fontId="11" fillId="0" borderId="0" xfId="0" applyFont="1"/>
    <xf numFmtId="44" fontId="11" fillId="0" borderId="2" xfId="2" applyFont="1" applyBorder="1" applyAlignment="1">
      <alignment horizontal="center"/>
    </xf>
    <xf numFmtId="166" fontId="11" fillId="0" borderId="2" xfId="0" applyNumberFormat="1" applyFont="1" applyBorder="1" applyAlignment="1">
      <alignment horizontal="left"/>
    </xf>
    <xf numFmtId="10" fontId="11" fillId="0" borderId="2" xfId="5" applyNumberFormat="1" applyFont="1" applyBorder="1"/>
    <xf numFmtId="166" fontId="11" fillId="0" borderId="2" xfId="2" applyNumberFormat="1" applyFont="1" applyBorder="1" applyAlignment="1">
      <alignment horizontal="center"/>
    </xf>
    <xf numFmtId="0" fontId="11" fillId="0" borderId="5" xfId="0" applyFont="1" applyBorder="1"/>
    <xf numFmtId="166" fontId="11" fillId="0" borderId="0" xfId="2" applyNumberFormat="1" applyFont="1" applyBorder="1"/>
    <xf numFmtId="44" fontId="11" fillId="0" borderId="4" xfId="2" applyFont="1" applyBorder="1" applyAlignment="1">
      <alignment horizontal="center"/>
    </xf>
    <xf numFmtId="10" fontId="11" fillId="0" borderId="2" xfId="0" applyNumberFormat="1" applyFont="1" applyBorder="1"/>
    <xf numFmtId="165" fontId="11" fillId="0" borderId="2" xfId="1" applyNumberFormat="1" applyFont="1" applyBorder="1"/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65" fontId="11" fillId="0" borderId="2" xfId="1" applyNumberFormat="1" applyFont="1" applyBorder="1" applyAlignment="1">
      <alignment horizontal="center"/>
    </xf>
    <xf numFmtId="167" fontId="11" fillId="0" borderId="4" xfId="2" applyNumberFormat="1" applyFont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5" fontId="11" fillId="0" borderId="3" xfId="1" applyNumberFormat="1" applyFont="1" applyBorder="1"/>
    <xf numFmtId="165" fontId="11" fillId="0" borderId="2" xfId="1" applyNumberFormat="1" applyFont="1" applyBorder="1" applyAlignment="1">
      <alignment horizontal="left"/>
    </xf>
    <xf numFmtId="165" fontId="11" fillId="0" borderId="3" xfId="1" applyNumberFormat="1" applyFont="1" applyBorder="1" applyAlignment="1">
      <alignment horizontal="left"/>
    </xf>
    <xf numFmtId="0" fontId="11" fillId="0" borderId="0" xfId="0" applyFont="1" applyAlignment="1">
      <alignment horizontal="centerContinuous" vertical="justify"/>
    </xf>
    <xf numFmtId="166" fontId="11" fillId="0" borderId="4" xfId="0" applyNumberFormat="1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165" fontId="11" fillId="0" borderId="2" xfId="1" applyNumberFormat="1" applyFont="1" applyFill="1" applyBorder="1"/>
    <xf numFmtId="41" fontId="11" fillId="0" borderId="2" xfId="0" applyNumberFormat="1" applyFont="1" applyBorder="1"/>
    <xf numFmtId="41" fontId="11" fillId="0" borderId="3" xfId="0" applyNumberFormat="1" applyFont="1" applyBorder="1"/>
    <xf numFmtId="41" fontId="11" fillId="0" borderId="4" xfId="0" applyNumberFormat="1" applyFont="1" applyBorder="1"/>
    <xf numFmtId="41" fontId="11" fillId="0" borderId="0" xfId="0" applyNumberFormat="1" applyFont="1"/>
    <xf numFmtId="41" fontId="11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165" fontId="11" fillId="0" borderId="3" xfId="1" applyNumberFormat="1" applyFont="1" applyFill="1" applyBorder="1"/>
    <xf numFmtId="17" fontId="11" fillId="0" borderId="1" xfId="0" applyNumberFormat="1" applyFont="1" applyBorder="1" applyAlignment="1">
      <alignment horizontal="center"/>
    </xf>
    <xf numFmtId="165" fontId="11" fillId="0" borderId="1" xfId="1" applyNumberFormat="1" applyFont="1" applyBorder="1"/>
    <xf numFmtId="165" fontId="11" fillId="0" borderId="0" xfId="1" applyNumberFormat="1" applyFont="1" applyBorder="1"/>
    <xf numFmtId="0" fontId="9" fillId="0" borderId="12" xfId="0" applyFont="1" applyBorder="1"/>
    <xf numFmtId="0" fontId="11" fillId="0" borderId="9" xfId="0" applyFont="1" applyBorder="1" applyAlignment="1">
      <alignment horizontal="left"/>
    </xf>
    <xf numFmtId="0" fontId="11" fillId="0" borderId="13" xfId="0" applyFont="1" applyBorder="1" applyAlignment="1">
      <alignment horizontal="center"/>
    </xf>
    <xf numFmtId="165" fontId="11" fillId="0" borderId="13" xfId="1" applyNumberFormat="1" applyFont="1" applyBorder="1"/>
    <xf numFmtId="0" fontId="11" fillId="0" borderId="14" xfId="0" applyFont="1" applyBorder="1" applyAlignment="1">
      <alignment horizontal="center"/>
    </xf>
    <xf numFmtId="0" fontId="11" fillId="0" borderId="14" xfId="0" applyFont="1" applyBorder="1"/>
    <xf numFmtId="44" fontId="11" fillId="0" borderId="8" xfId="2" applyFont="1" applyBorder="1" applyAlignment="1">
      <alignment horizontal="center"/>
    </xf>
    <xf numFmtId="44" fontId="10" fillId="0" borderId="8" xfId="2" applyFont="1" applyBorder="1" applyAlignment="1">
      <alignment horizontal="center"/>
    </xf>
    <xf numFmtId="44" fontId="10" fillId="0" borderId="8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7" fontId="11" fillId="0" borderId="9" xfId="0" applyNumberFormat="1" applyFont="1" applyBorder="1" applyAlignment="1">
      <alignment horizontal="left"/>
    </xf>
    <xf numFmtId="0" fontId="11" fillId="0" borderId="9" xfId="0" applyFont="1" applyBorder="1"/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3" fillId="0" borderId="0" xfId="0" quotePrefix="1" applyFont="1" applyAlignment="1">
      <alignment horizontal="center"/>
    </xf>
    <xf numFmtId="44" fontId="18" fillId="0" borderId="8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166" fontId="10" fillId="0" borderId="0" xfId="2" applyNumberFormat="1" applyFont="1" applyBorder="1"/>
    <xf numFmtId="166" fontId="10" fillId="0" borderId="4" xfId="2" applyNumberFormat="1" applyFont="1" applyBorder="1"/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11" fillId="0" borderId="12" xfId="0" applyFont="1" applyBorder="1" applyAlignment="1">
      <alignment horizontal="center"/>
    </xf>
    <xf numFmtId="40" fontId="11" fillId="0" borderId="0" xfId="0" applyNumberFormat="1" applyFont="1"/>
    <xf numFmtId="38" fontId="11" fillId="0" borderId="2" xfId="0" applyNumberFormat="1" applyFont="1" applyBorder="1"/>
    <xf numFmtId="0" fontId="11" fillId="0" borderId="12" xfId="0" applyFont="1" applyBorder="1"/>
    <xf numFmtId="0" fontId="11" fillId="0" borderId="13" xfId="0" applyFont="1" applyBorder="1"/>
    <xf numFmtId="165" fontId="11" fillId="0" borderId="13" xfId="1" applyNumberFormat="1" applyFont="1" applyFill="1" applyBorder="1"/>
    <xf numFmtId="0" fontId="14" fillId="0" borderId="0" xfId="0" quotePrefix="1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44" fontId="18" fillId="0" borderId="8" xfId="0" applyNumberFormat="1" applyFont="1" applyBorder="1" applyAlignment="1">
      <alignment horizontal="center"/>
    </xf>
    <xf numFmtId="0" fontId="11" fillId="0" borderId="15" xfId="0" applyFont="1" applyBorder="1"/>
    <xf numFmtId="0" fontId="10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1" fillId="0" borderId="8" xfId="0" applyFont="1" applyBorder="1"/>
    <xf numFmtId="0" fontId="10" fillId="0" borderId="0" xfId="0" applyFont="1" applyAlignment="1">
      <alignment horizontal="left"/>
    </xf>
    <xf numFmtId="165" fontId="11" fillId="0" borderId="0" xfId="1" applyNumberFormat="1" applyFont="1" applyFill="1" applyBorder="1"/>
    <xf numFmtId="0" fontId="10" fillId="0" borderId="2" xfId="0" applyFont="1" applyBorder="1"/>
    <xf numFmtId="37" fontId="11" fillId="0" borderId="2" xfId="0" applyNumberFormat="1" applyFont="1" applyBorder="1"/>
    <xf numFmtId="37" fontId="11" fillId="0" borderId="3" xfId="0" applyNumberFormat="1" applyFont="1" applyBorder="1"/>
    <xf numFmtId="166" fontId="11" fillId="0" borderId="10" xfId="2" applyNumberFormat="1" applyFont="1" applyBorder="1"/>
    <xf numFmtId="0" fontId="20" fillId="0" borderId="2" xfId="0" applyFont="1" applyBorder="1"/>
    <xf numFmtId="0" fontId="20" fillId="0" borderId="13" xfId="0" applyFont="1" applyBorder="1"/>
    <xf numFmtId="166" fontId="11" fillId="0" borderId="13" xfId="2" applyNumberFormat="1" applyFont="1" applyBorder="1"/>
    <xf numFmtId="166" fontId="10" fillId="0" borderId="2" xfId="2" applyNumberFormat="1" applyFont="1" applyBorder="1"/>
    <xf numFmtId="168" fontId="11" fillId="0" borderId="3" xfId="2" applyNumberFormat="1" applyFont="1" applyFill="1" applyBorder="1"/>
    <xf numFmtId="166" fontId="11" fillId="0" borderId="3" xfId="2" applyNumberFormat="1" applyFont="1" applyFill="1" applyBorder="1"/>
    <xf numFmtId="166" fontId="25" fillId="0" borderId="0" xfId="0" applyNumberFormat="1" applyFont="1"/>
    <xf numFmtId="0" fontId="24" fillId="0" borderId="13" xfId="0" applyFont="1" applyBorder="1" applyAlignment="1">
      <alignment horizontal="center"/>
    </xf>
    <xf numFmtId="174" fontId="11" fillId="0" borderId="2" xfId="0" applyNumberFormat="1" applyFont="1" applyBorder="1" applyAlignment="1">
      <alignment horizontal="center"/>
    </xf>
    <xf numFmtId="0" fontId="11" fillId="0" borderId="0" xfId="3" applyFont="1"/>
    <xf numFmtId="17" fontId="11" fillId="0" borderId="2" xfId="3" applyNumberFormat="1" applyFont="1" applyBorder="1" applyAlignment="1">
      <alignment horizontal="center"/>
    </xf>
    <xf numFmtId="17" fontId="11" fillId="0" borderId="13" xfId="3" applyNumberFormat="1" applyFont="1" applyBorder="1" applyAlignment="1">
      <alignment horizontal="center"/>
    </xf>
    <xf numFmtId="169" fontId="11" fillId="0" borderId="0" xfId="5" applyNumberFormat="1" applyFont="1" applyBorder="1"/>
    <xf numFmtId="0" fontId="9" fillId="0" borderId="0" xfId="3" applyFont="1" applyAlignment="1">
      <alignment horizontal="left"/>
    </xf>
    <xf numFmtId="0" fontId="9" fillId="0" borderId="0" xfId="3" applyFont="1"/>
    <xf numFmtId="0" fontId="11" fillId="0" borderId="0" xfId="3" quotePrefix="1" applyFont="1" applyAlignment="1">
      <alignment horizontal="center"/>
    </xf>
    <xf numFmtId="164" fontId="11" fillId="0" borderId="2" xfId="0" applyNumberFormat="1" applyFont="1" applyBorder="1"/>
    <xf numFmtId="170" fontId="11" fillId="0" borderId="2" xfId="5" applyNumberFormat="1" applyFont="1" applyBorder="1"/>
    <xf numFmtId="165" fontId="11" fillId="0" borderId="19" xfId="1" applyNumberFormat="1" applyFont="1" applyBorder="1"/>
    <xf numFmtId="165" fontId="11" fillId="0" borderId="19" xfId="1" applyNumberFormat="1" applyFont="1" applyFill="1" applyBorder="1"/>
    <xf numFmtId="165" fontId="11" fillId="0" borderId="22" xfId="1" applyNumberFormat="1" applyFont="1" applyBorder="1"/>
    <xf numFmtId="165" fontId="11" fillId="0" borderId="22" xfId="1" applyNumberFormat="1" applyFont="1" applyFill="1" applyBorder="1"/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24" xfId="0" applyFont="1" applyBorder="1"/>
    <xf numFmtId="0" fontId="11" fillId="0" borderId="22" xfId="0" applyFont="1" applyBorder="1"/>
    <xf numFmtId="0" fontId="11" fillId="0" borderId="23" xfId="0" applyFont="1" applyBorder="1"/>
    <xf numFmtId="0" fontId="11" fillId="0" borderId="28" xfId="0" applyFont="1" applyBorder="1"/>
    <xf numFmtId="0" fontId="11" fillId="0" borderId="29" xfId="0" applyFont="1" applyBorder="1"/>
    <xf numFmtId="165" fontId="10" fillId="0" borderId="20" xfId="1" applyNumberFormat="1" applyFont="1" applyFill="1" applyBorder="1"/>
    <xf numFmtId="165" fontId="10" fillId="0" borderId="23" xfId="1" applyNumberFormat="1" applyFont="1" applyFill="1" applyBorder="1"/>
    <xf numFmtId="0" fontId="10" fillId="0" borderId="0" xfId="3" applyFont="1" applyAlignment="1">
      <alignment horizontal="centerContinuous" vertical="justify"/>
    </xf>
    <xf numFmtId="0" fontId="8" fillId="0" borderId="0" xfId="3" applyFont="1" applyAlignment="1">
      <alignment horizontal="centerContinuous" vertical="justify"/>
    </xf>
    <xf numFmtId="0" fontId="11" fillId="0" borderId="0" xfId="3" applyFont="1" applyAlignment="1">
      <alignment horizontal="left"/>
    </xf>
    <xf numFmtId="0" fontId="10" fillId="0" borderId="4" xfId="3" applyFont="1" applyBorder="1" applyAlignment="1">
      <alignment horizontal="center"/>
    </xf>
    <xf numFmtId="0" fontId="11" fillId="0" borderId="0" xfId="4" applyFont="1"/>
    <xf numFmtId="166" fontId="11" fillId="0" borderId="14" xfId="2" applyNumberFormat="1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3" xfId="0" applyFont="1" applyBorder="1"/>
    <xf numFmtId="166" fontId="11" fillId="0" borderId="1" xfId="2" applyNumberFormat="1" applyFont="1" applyFill="1" applyBorder="1"/>
    <xf numFmtId="0" fontId="11" fillId="0" borderId="38" xfId="0" applyFont="1" applyBorder="1" applyAlignment="1">
      <alignment horizontal="center"/>
    </xf>
    <xf numFmtId="165" fontId="11" fillId="0" borderId="0" xfId="1" applyNumberFormat="1" applyFont="1"/>
    <xf numFmtId="166" fontId="11" fillId="0" borderId="2" xfId="2" applyNumberFormat="1" applyFont="1" applyFill="1" applyBorder="1"/>
    <xf numFmtId="0" fontId="9" fillId="0" borderId="6" xfId="0" applyFont="1" applyBorder="1"/>
    <xf numFmtId="166" fontId="11" fillId="0" borderId="0" xfId="0" applyNumberFormat="1" applyFont="1"/>
    <xf numFmtId="0" fontId="28" fillId="0" borderId="8" xfId="0" applyFont="1" applyBorder="1" applyAlignment="1">
      <alignment horizontal="center"/>
    </xf>
    <xf numFmtId="0" fontId="13" fillId="0" borderId="0" xfId="0" applyFont="1"/>
    <xf numFmtId="0" fontId="11" fillId="0" borderId="37" xfId="0" applyFont="1" applyBorder="1"/>
    <xf numFmtId="0" fontId="11" fillId="0" borderId="41" xfId="0" applyFont="1" applyBorder="1"/>
    <xf numFmtId="165" fontId="11" fillId="0" borderId="28" xfId="1" applyNumberFormat="1" applyFont="1" applyFill="1" applyBorder="1"/>
    <xf numFmtId="0" fontId="11" fillId="0" borderId="28" xfId="0" applyFont="1" applyBorder="1" applyAlignment="1">
      <alignment horizontal="left"/>
    </xf>
    <xf numFmtId="0" fontId="11" fillId="0" borderId="39" xfId="0" applyFont="1" applyBorder="1" applyAlignment="1">
      <alignment horizontal="center"/>
    </xf>
    <xf numFmtId="165" fontId="10" fillId="0" borderId="0" xfId="1" applyNumberFormat="1" applyFont="1"/>
    <xf numFmtId="173" fontId="11" fillId="0" borderId="3" xfId="5" applyNumberFormat="1" applyFont="1" applyFill="1" applyBorder="1"/>
    <xf numFmtId="0" fontId="10" fillId="0" borderId="13" xfId="0" applyFont="1" applyBorder="1" applyAlignment="1">
      <alignment horizontal="center"/>
    </xf>
    <xf numFmtId="166" fontId="10" fillId="0" borderId="3" xfId="2" applyNumberFormat="1" applyFont="1" applyBorder="1"/>
    <xf numFmtId="165" fontId="10" fillId="0" borderId="4" xfId="1" applyNumberFormat="1" applyFont="1" applyBorder="1"/>
    <xf numFmtId="0" fontId="21" fillId="0" borderId="0" xfId="0" applyFont="1" applyAlignment="1">
      <alignment horizontal="left"/>
    </xf>
    <xf numFmtId="44" fontId="18" fillId="0" borderId="2" xfId="2" applyFont="1" applyBorder="1" applyAlignment="1">
      <alignment horizontal="center"/>
    </xf>
    <xf numFmtId="0" fontId="10" fillId="0" borderId="2" xfId="0" quotePrefix="1" applyFont="1" applyBorder="1" applyAlignment="1">
      <alignment horizontal="center"/>
    </xf>
    <xf numFmtId="0" fontId="9" fillId="0" borderId="2" xfId="0" applyFont="1" applyBorder="1"/>
    <xf numFmtId="0" fontId="8" fillId="0" borderId="13" xfId="0" applyFont="1" applyBorder="1" applyAlignment="1">
      <alignment horizontal="center"/>
    </xf>
    <xf numFmtId="166" fontId="18" fillId="0" borderId="2" xfId="2" applyNumberFormat="1" applyFont="1" applyBorder="1"/>
    <xf numFmtId="165" fontId="18" fillId="0" borderId="2" xfId="1" applyNumberFormat="1" applyFont="1" applyBorder="1"/>
    <xf numFmtId="165" fontId="10" fillId="0" borderId="2" xfId="1" applyNumberFormat="1" applyFont="1" applyFill="1" applyBorder="1"/>
    <xf numFmtId="0" fontId="30" fillId="0" borderId="0" xfId="3" quotePrefix="1" applyFont="1" applyAlignment="1">
      <alignment horizontal="center"/>
    </xf>
    <xf numFmtId="0" fontId="10" fillId="0" borderId="48" xfId="0" quotePrefix="1" applyFont="1" applyBorder="1" applyAlignment="1">
      <alignment horizontal="center"/>
    </xf>
    <xf numFmtId="0" fontId="11" fillId="0" borderId="42" xfId="0" applyFont="1" applyBorder="1"/>
    <xf numFmtId="0" fontId="23" fillId="0" borderId="45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11" fillId="0" borderId="38" xfId="0" applyFont="1" applyBorder="1"/>
    <xf numFmtId="0" fontId="10" fillId="0" borderId="37" xfId="0" applyFont="1" applyBorder="1"/>
    <xf numFmtId="172" fontId="11" fillId="0" borderId="36" xfId="0" applyNumberFormat="1" applyFont="1" applyBorder="1"/>
    <xf numFmtId="168" fontId="11" fillId="0" borderId="34" xfId="2" applyNumberFormat="1" applyFont="1" applyBorder="1"/>
    <xf numFmtId="168" fontId="11" fillId="0" borderId="35" xfId="2" applyNumberFormat="1" applyFont="1" applyBorder="1"/>
    <xf numFmtId="164" fontId="11" fillId="0" borderId="40" xfId="0" applyNumberFormat="1" applyFont="1" applyBorder="1"/>
    <xf numFmtId="0" fontId="10" fillId="0" borderId="34" xfId="0" applyFont="1" applyBorder="1"/>
    <xf numFmtId="0" fontId="11" fillId="0" borderId="7" xfId="0" applyFont="1" applyBorder="1" applyAlignment="1">
      <alignment horizontal="center"/>
    </xf>
    <xf numFmtId="3" fontId="11" fillId="0" borderId="0" xfId="0" applyNumberFormat="1" applyFont="1"/>
    <xf numFmtId="3" fontId="11" fillId="0" borderId="3" xfId="0" applyNumberFormat="1" applyFont="1" applyBorder="1"/>
    <xf numFmtId="165" fontId="9" fillId="0" borderId="0" xfId="1" applyNumberFormat="1" applyFont="1"/>
    <xf numFmtId="0" fontId="31" fillId="0" borderId="0" xfId="0" applyFont="1"/>
    <xf numFmtId="0" fontId="10" fillId="0" borderId="29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11" fillId="0" borderId="43" xfId="0" applyFont="1" applyBorder="1"/>
    <xf numFmtId="0" fontId="21" fillId="0" borderId="28" xfId="0" applyFont="1" applyBorder="1" applyAlignment="1">
      <alignment horizontal="left"/>
    </xf>
    <xf numFmtId="17" fontId="21" fillId="0" borderId="22" xfId="0" applyNumberFormat="1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174" fontId="11" fillId="0" borderId="5" xfId="0" applyNumberFormat="1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166" fontId="10" fillId="0" borderId="3" xfId="2" applyNumberFormat="1" applyFont="1" applyFill="1" applyBorder="1"/>
    <xf numFmtId="166" fontId="10" fillId="0" borderId="4" xfId="2" applyNumberFormat="1" applyFont="1" applyFill="1" applyBorder="1"/>
    <xf numFmtId="0" fontId="11" fillId="0" borderId="0" xfId="0" applyFont="1" applyAlignment="1">
      <alignment vertical="center"/>
    </xf>
    <xf numFmtId="44" fontId="18" fillId="0" borderId="8" xfId="2" applyFont="1" applyBorder="1" applyAlignment="1">
      <alignment horizontal="center" wrapText="1"/>
    </xf>
    <xf numFmtId="44" fontId="19" fillId="0" borderId="8" xfId="2" applyFont="1" applyBorder="1"/>
    <xf numFmtId="44" fontId="19" fillId="0" borderId="2" xfId="2" applyFont="1" applyBorder="1"/>
    <xf numFmtId="165" fontId="11" fillId="0" borderId="0" xfId="1" applyNumberFormat="1" applyFont="1" applyFill="1"/>
    <xf numFmtId="3" fontId="11" fillId="0" borderId="19" xfId="0" applyNumberFormat="1" applyFont="1" applyBorder="1"/>
    <xf numFmtId="3" fontId="11" fillId="0" borderId="22" xfId="0" applyNumberFormat="1" applyFont="1" applyBorder="1" applyAlignment="1">
      <alignment horizontal="right"/>
    </xf>
    <xf numFmtId="3" fontId="11" fillId="0" borderId="19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0" fontId="11" fillId="0" borderId="19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3" fontId="11" fillId="0" borderId="53" xfId="0" applyNumberFormat="1" applyFont="1" applyBorder="1" applyAlignment="1">
      <alignment horizontal="right"/>
    </xf>
    <xf numFmtId="3" fontId="11" fillId="0" borderId="54" xfId="0" applyNumberFormat="1" applyFont="1" applyBorder="1" applyAlignment="1">
      <alignment horizontal="right"/>
    </xf>
    <xf numFmtId="3" fontId="11" fillId="0" borderId="55" xfId="0" applyNumberFormat="1" applyFont="1" applyBorder="1" applyAlignment="1">
      <alignment horizontal="right"/>
    </xf>
    <xf numFmtId="0" fontId="10" fillId="0" borderId="19" xfId="0" applyFont="1" applyBorder="1" applyAlignment="1">
      <alignment horizontal="left"/>
    </xf>
    <xf numFmtId="3" fontId="11" fillId="0" borderId="56" xfId="0" applyNumberFormat="1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3" fontId="11" fillId="0" borderId="57" xfId="0" applyNumberFormat="1" applyFont="1" applyBorder="1" applyAlignment="1">
      <alignment horizontal="right"/>
    </xf>
    <xf numFmtId="0" fontId="11" fillId="0" borderId="20" xfId="0" applyFont="1" applyBorder="1"/>
    <xf numFmtId="3" fontId="11" fillId="0" borderId="12" xfId="0" applyNumberFormat="1" applyFont="1" applyBorder="1"/>
    <xf numFmtId="3" fontId="11" fillId="0" borderId="23" xfId="0" applyNumberFormat="1" applyFont="1" applyBorder="1"/>
    <xf numFmtId="0" fontId="27" fillId="0" borderId="28" xfId="0" applyFont="1" applyBorder="1"/>
    <xf numFmtId="17" fontId="21" fillId="0" borderId="19" xfId="0" applyNumberFormat="1" applyFont="1" applyBorder="1" applyAlignment="1">
      <alignment horizontal="center"/>
    </xf>
    <xf numFmtId="17" fontId="21" fillId="0" borderId="0" xfId="0" applyNumberFormat="1" applyFont="1" applyAlignment="1">
      <alignment horizontal="center"/>
    </xf>
    <xf numFmtId="0" fontId="21" fillId="0" borderId="28" xfId="0" applyFont="1" applyBorder="1"/>
    <xf numFmtId="0" fontId="11" fillId="0" borderId="19" xfId="0" applyFont="1" applyBorder="1"/>
    <xf numFmtId="3" fontId="11" fillId="0" borderId="7" xfId="0" applyNumberFormat="1" applyFont="1" applyBorder="1"/>
    <xf numFmtId="3" fontId="11" fillId="0" borderId="53" xfId="0" applyNumberFormat="1" applyFont="1" applyBorder="1"/>
    <xf numFmtId="3" fontId="11" fillId="0" borderId="54" xfId="0" applyNumberFormat="1" applyFont="1" applyBorder="1"/>
    <xf numFmtId="3" fontId="11" fillId="0" borderId="55" xfId="0" applyNumberFormat="1" applyFont="1" applyBorder="1"/>
    <xf numFmtId="0" fontId="11" fillId="0" borderId="21" xfId="0" applyFont="1" applyBorder="1"/>
    <xf numFmtId="3" fontId="11" fillId="0" borderId="59" xfId="0" applyNumberFormat="1" applyFont="1" applyBorder="1"/>
    <xf numFmtId="3" fontId="11" fillId="0" borderId="60" xfId="0" applyNumberFormat="1" applyFont="1" applyBorder="1"/>
    <xf numFmtId="166" fontId="10" fillId="0" borderId="4" xfId="0" applyNumberFormat="1" applyFont="1" applyBorder="1"/>
    <xf numFmtId="166" fontId="10" fillId="0" borderId="2" xfId="2" applyNumberFormat="1" applyFont="1" applyFill="1" applyBorder="1"/>
    <xf numFmtId="10" fontId="10" fillId="0" borderId="4" xfId="5" applyNumberFormat="1" applyFont="1" applyFill="1" applyBorder="1"/>
    <xf numFmtId="0" fontId="16" fillId="0" borderId="12" xfId="0" applyFont="1" applyBorder="1" applyAlignment="1">
      <alignment horizontal="left"/>
    </xf>
    <xf numFmtId="10" fontId="10" fillId="0" borderId="13" xfId="5" applyNumberFormat="1" applyFont="1" applyFill="1" applyBorder="1" applyAlignment="1">
      <alignment horizontal="right"/>
    </xf>
    <xf numFmtId="166" fontId="11" fillId="0" borderId="4" xfId="2" applyNumberFormat="1" applyFont="1" applyFill="1" applyBorder="1"/>
    <xf numFmtId="166" fontId="11" fillId="0" borderId="13" xfId="2" applyNumberFormat="1" applyFont="1" applyFill="1" applyBorder="1"/>
    <xf numFmtId="166" fontId="11" fillId="0" borderId="4" xfId="0" applyNumberFormat="1" applyFont="1" applyBorder="1"/>
    <xf numFmtId="166" fontId="11" fillId="0" borderId="13" xfId="0" applyNumberFormat="1" applyFont="1" applyBorder="1"/>
    <xf numFmtId="0" fontId="11" fillId="0" borderId="8" xfId="0" applyFont="1" applyBorder="1" applyAlignment="1">
      <alignment horizontal="left"/>
    </xf>
    <xf numFmtId="17" fontId="12" fillId="0" borderId="8" xfId="0" applyNumberFormat="1" applyFont="1" applyBorder="1" applyAlignment="1">
      <alignment horizontal="left"/>
    </xf>
    <xf numFmtId="165" fontId="11" fillId="0" borderId="8" xfId="1" applyNumberFormat="1" applyFont="1" applyBorder="1" applyAlignment="1">
      <alignment horizontal="left"/>
    </xf>
    <xf numFmtId="165" fontId="11" fillId="0" borderId="8" xfId="1" applyNumberFormat="1" applyFont="1" applyBorder="1"/>
    <xf numFmtId="166" fontId="11" fillId="0" borderId="8" xfId="2" applyNumberFormat="1" applyFont="1" applyBorder="1"/>
    <xf numFmtId="41" fontId="18" fillId="0" borderId="2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/>
    <xf numFmtId="166" fontId="11" fillId="0" borderId="42" xfId="2" applyNumberFormat="1" applyFont="1" applyBorder="1"/>
    <xf numFmtId="166" fontId="11" fillId="0" borderId="42" xfId="2" applyNumberFormat="1" applyFont="1" applyFill="1" applyBorder="1"/>
    <xf numFmtId="166" fontId="11" fillId="0" borderId="61" xfId="2" applyNumberFormat="1" applyFont="1" applyFill="1" applyBorder="1"/>
    <xf numFmtId="0" fontId="11" fillId="0" borderId="39" xfId="0" applyFont="1" applyBorder="1"/>
    <xf numFmtId="165" fontId="11" fillId="0" borderId="9" xfId="1" applyNumberFormat="1" applyFont="1" applyBorder="1"/>
    <xf numFmtId="166" fontId="11" fillId="0" borderId="45" xfId="2" applyNumberFormat="1" applyFont="1" applyBorder="1"/>
    <xf numFmtId="0" fontId="11" fillId="0" borderId="61" xfId="0" applyFont="1" applyBorder="1"/>
    <xf numFmtId="0" fontId="11" fillId="0" borderId="62" xfId="0" applyFont="1" applyBorder="1" applyAlignment="1">
      <alignment horizontal="center"/>
    </xf>
    <xf numFmtId="38" fontId="11" fillId="0" borderId="8" xfId="0" applyNumberFormat="1" applyFont="1" applyBorder="1"/>
    <xf numFmtId="165" fontId="11" fillId="0" borderId="6" xfId="1" applyNumberFormat="1" applyFont="1" applyBorder="1"/>
    <xf numFmtId="166" fontId="11" fillId="0" borderId="63" xfId="2" applyNumberFormat="1" applyFont="1" applyBorder="1"/>
    <xf numFmtId="166" fontId="11" fillId="0" borderId="6" xfId="2" applyNumberFormat="1" applyFont="1" applyBorder="1"/>
    <xf numFmtId="37" fontId="11" fillId="0" borderId="8" xfId="0" applyNumberFormat="1" applyFont="1" applyBorder="1"/>
    <xf numFmtId="166" fontId="11" fillId="0" borderId="8" xfId="2" applyNumberFormat="1" applyFont="1" applyFill="1" applyBorder="1"/>
    <xf numFmtId="37" fontId="11" fillId="0" borderId="6" xfId="0" applyNumberFormat="1" applyFont="1" applyBorder="1"/>
    <xf numFmtId="173" fontId="11" fillId="0" borderId="6" xfId="5" applyNumberFormat="1" applyFont="1" applyFill="1" applyBorder="1"/>
    <xf numFmtId="166" fontId="11" fillId="0" borderId="6" xfId="2" applyNumberFormat="1" applyFont="1" applyFill="1" applyBorder="1"/>
    <xf numFmtId="166" fontId="11" fillId="0" borderId="52" xfId="2" applyNumberFormat="1" applyFont="1" applyBorder="1"/>
    <xf numFmtId="0" fontId="11" fillId="0" borderId="65" xfId="0" applyFont="1" applyBorder="1"/>
    <xf numFmtId="0" fontId="11" fillId="0" borderId="66" xfId="0" applyFont="1" applyBorder="1" applyAlignment="1">
      <alignment horizontal="center"/>
    </xf>
    <xf numFmtId="0" fontId="11" fillId="0" borderId="67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166" fontId="11" fillId="0" borderId="66" xfId="2" applyNumberFormat="1" applyFont="1" applyBorder="1"/>
    <xf numFmtId="166" fontId="11" fillId="0" borderId="67" xfId="2" applyNumberFormat="1" applyFont="1" applyFill="1" applyBorder="1"/>
    <xf numFmtId="38" fontId="11" fillId="0" borderId="66" xfId="0" applyNumberFormat="1" applyFont="1" applyBorder="1"/>
    <xf numFmtId="165" fontId="11" fillId="0" borderId="66" xfId="1" applyNumberFormat="1" applyFont="1" applyBorder="1"/>
    <xf numFmtId="165" fontId="11" fillId="0" borderId="67" xfId="1" applyNumberFormat="1" applyFont="1" applyBorder="1"/>
    <xf numFmtId="168" fontId="11" fillId="0" borderId="68" xfId="2" applyNumberFormat="1" applyFont="1" applyFill="1" applyBorder="1"/>
    <xf numFmtId="168" fontId="11" fillId="0" borderId="69" xfId="2" applyNumberFormat="1" applyFont="1" applyFill="1" applyBorder="1"/>
    <xf numFmtId="166" fontId="11" fillId="0" borderId="70" xfId="2" applyNumberFormat="1" applyFont="1" applyBorder="1"/>
    <xf numFmtId="165" fontId="11" fillId="0" borderId="68" xfId="1" applyNumberFormat="1" applyFont="1" applyBorder="1"/>
    <xf numFmtId="166" fontId="11" fillId="0" borderId="72" xfId="2" applyNumberFormat="1" applyFont="1" applyBorder="1"/>
    <xf numFmtId="166" fontId="11" fillId="0" borderId="73" xfId="2" applyNumberFormat="1" applyFont="1" applyBorder="1"/>
    <xf numFmtId="165" fontId="11" fillId="0" borderId="69" xfId="1" applyNumberFormat="1" applyFont="1" applyBorder="1"/>
    <xf numFmtId="166" fontId="11" fillId="0" borderId="67" xfId="2" applyNumberFormat="1" applyFont="1" applyBorder="1"/>
    <xf numFmtId="166" fontId="11" fillId="0" borderId="68" xfId="2" applyNumberFormat="1" applyFont="1" applyBorder="1"/>
    <xf numFmtId="37" fontId="11" fillId="0" borderId="66" xfId="0" applyNumberFormat="1" applyFont="1" applyBorder="1"/>
    <xf numFmtId="166" fontId="11" fillId="0" borderId="66" xfId="2" applyNumberFormat="1" applyFont="1" applyFill="1" applyBorder="1"/>
    <xf numFmtId="37" fontId="11" fillId="0" borderId="68" xfId="0" applyNumberFormat="1" applyFont="1" applyBorder="1"/>
    <xf numFmtId="37" fontId="11" fillId="0" borderId="69" xfId="0" applyNumberFormat="1" applyFont="1" applyBorder="1"/>
    <xf numFmtId="173" fontId="11" fillId="0" borderId="68" xfId="5" applyNumberFormat="1" applyFont="1" applyFill="1" applyBorder="1"/>
    <xf numFmtId="173" fontId="11" fillId="0" borderId="69" xfId="5" applyNumberFormat="1" applyFont="1" applyFill="1" applyBorder="1"/>
    <xf numFmtId="164" fontId="11" fillId="0" borderId="19" xfId="0" applyNumberFormat="1" applyFont="1" applyBorder="1"/>
    <xf numFmtId="0" fontId="10" fillId="0" borderId="64" xfId="0" applyFont="1" applyBorder="1"/>
    <xf numFmtId="38" fontId="11" fillId="0" borderId="67" xfId="0" applyNumberFormat="1" applyFont="1" applyBorder="1"/>
    <xf numFmtId="166" fontId="11" fillId="0" borderId="71" xfId="2" applyNumberFormat="1" applyFont="1" applyBorder="1"/>
    <xf numFmtId="165" fontId="11" fillId="0" borderId="66" xfId="1" applyNumberFormat="1" applyFont="1" applyFill="1" applyBorder="1"/>
    <xf numFmtId="166" fontId="11" fillId="0" borderId="69" xfId="2" applyNumberFormat="1" applyFont="1" applyBorder="1"/>
    <xf numFmtId="37" fontId="11" fillId="0" borderId="67" xfId="0" applyNumberFormat="1" applyFont="1" applyBorder="1"/>
    <xf numFmtId="166" fontId="11" fillId="0" borderId="77" xfId="2" applyNumberFormat="1" applyFont="1" applyBorder="1"/>
    <xf numFmtId="166" fontId="11" fillId="0" borderId="78" xfId="2" applyNumberFormat="1" applyFont="1" applyBorder="1"/>
    <xf numFmtId="166" fontId="11" fillId="0" borderId="21" xfId="2" applyNumberFormat="1" applyFont="1" applyBorder="1"/>
    <xf numFmtId="170" fontId="11" fillId="0" borderId="66" xfId="5" applyNumberFormat="1" applyFont="1" applyBorder="1"/>
    <xf numFmtId="170" fontId="11" fillId="0" borderId="67" xfId="5" applyNumberFormat="1" applyFont="1" applyBorder="1"/>
    <xf numFmtId="165" fontId="9" fillId="0" borderId="0" xfId="0" applyNumberFormat="1" applyFont="1"/>
    <xf numFmtId="0" fontId="11" fillId="0" borderId="64" xfId="0" applyFont="1" applyBorder="1" applyAlignment="1">
      <alignment horizontal="center"/>
    </xf>
    <xf numFmtId="0" fontId="9" fillId="0" borderId="43" xfId="0" applyFont="1" applyBorder="1"/>
    <xf numFmtId="0" fontId="11" fillId="0" borderId="77" xfId="0" applyFont="1" applyBorder="1" applyAlignment="1">
      <alignment horizontal="center"/>
    </xf>
    <xf numFmtId="0" fontId="11" fillId="0" borderId="78" xfId="0" applyFont="1" applyBorder="1" applyAlignment="1">
      <alignment horizontal="center"/>
    </xf>
    <xf numFmtId="0" fontId="18" fillId="0" borderId="0" xfId="0" applyFont="1" applyAlignment="1">
      <alignment horizontal="left"/>
    </xf>
    <xf numFmtId="40" fontId="11" fillId="0" borderId="2" xfId="0" applyNumberFormat="1" applyFont="1" applyBorder="1"/>
    <xf numFmtId="165" fontId="10" fillId="0" borderId="13" xfId="1" applyNumberFormat="1" applyFont="1" applyFill="1" applyBorder="1"/>
    <xf numFmtId="40" fontId="10" fillId="0" borderId="0" xfId="0" applyNumberFormat="1" applyFont="1"/>
    <xf numFmtId="165" fontId="10" fillId="0" borderId="0" xfId="1" applyNumberFormat="1" applyFont="1" applyFill="1"/>
    <xf numFmtId="168" fontId="11" fillId="0" borderId="6" xfId="2" applyNumberFormat="1" applyFont="1" applyFill="1" applyBorder="1"/>
    <xf numFmtId="0" fontId="11" fillId="0" borderId="68" xfId="0" applyFont="1" applyBorder="1" applyAlignment="1">
      <alignment horizontal="center"/>
    </xf>
    <xf numFmtId="0" fontId="10" fillId="0" borderId="12" xfId="0" applyFont="1" applyBorder="1"/>
    <xf numFmtId="40" fontId="11" fillId="0" borderId="42" xfId="0" applyNumberFormat="1" applyFont="1" applyBorder="1"/>
    <xf numFmtId="40" fontId="11" fillId="0" borderId="21" xfId="0" applyNumberFormat="1" applyFont="1" applyBorder="1"/>
    <xf numFmtId="40" fontId="11" fillId="0" borderId="24" xfId="0" applyNumberFormat="1" applyFont="1" applyBorder="1"/>
    <xf numFmtId="0" fontId="10" fillId="0" borderId="28" xfId="0" applyFont="1" applyBorder="1" applyAlignment="1">
      <alignment horizontal="center" wrapText="1"/>
    </xf>
    <xf numFmtId="0" fontId="10" fillId="0" borderId="79" xfId="0" applyFont="1" applyBorder="1" applyAlignment="1">
      <alignment horizontal="center" wrapText="1"/>
    </xf>
    <xf numFmtId="0" fontId="11" fillId="0" borderId="0" xfId="0" quotePrefix="1" applyFont="1" applyAlignment="1">
      <alignment vertical="center"/>
    </xf>
    <xf numFmtId="0" fontId="11" fillId="0" borderId="0" xfId="4" quotePrefix="1" applyFont="1"/>
    <xf numFmtId="40" fontId="11" fillId="0" borderId="12" xfId="0" applyNumberFormat="1" applyFont="1" applyBorder="1"/>
    <xf numFmtId="40" fontId="11" fillId="0" borderId="13" xfId="0" applyNumberFormat="1" applyFont="1" applyBorder="1"/>
    <xf numFmtId="165" fontId="11" fillId="0" borderId="4" xfId="1" applyNumberFormat="1" applyFont="1" applyBorder="1"/>
    <xf numFmtId="165" fontId="10" fillId="0" borderId="56" xfId="1" applyNumberFormat="1" applyFont="1" applyBorder="1"/>
    <xf numFmtId="165" fontId="10" fillId="0" borderId="57" xfId="1" applyNumberFormat="1" applyFont="1" applyBorder="1"/>
    <xf numFmtId="165" fontId="11" fillId="0" borderId="57" xfId="1" applyNumberFormat="1" applyFont="1" applyBorder="1"/>
    <xf numFmtId="40" fontId="10" fillId="0" borderId="20" xfId="0" applyNumberFormat="1" applyFont="1" applyBorder="1"/>
    <xf numFmtId="0" fontId="11" fillId="0" borderId="64" xfId="0" applyFont="1" applyBorder="1"/>
    <xf numFmtId="166" fontId="11" fillId="0" borderId="69" xfId="2" applyNumberFormat="1" applyFont="1" applyFill="1" applyBorder="1"/>
    <xf numFmtId="0" fontId="11" fillId="0" borderId="31" xfId="0" applyFont="1" applyBorder="1"/>
    <xf numFmtId="166" fontId="11" fillId="0" borderId="0" xfId="2" applyNumberFormat="1" applyFont="1" applyFill="1" applyBorder="1"/>
    <xf numFmtId="166" fontId="11" fillId="0" borderId="22" xfId="2" applyNumberFormat="1" applyFont="1" applyFill="1" applyBorder="1"/>
    <xf numFmtId="165" fontId="11" fillId="0" borderId="58" xfId="1" applyNumberFormat="1" applyFont="1" applyBorder="1"/>
    <xf numFmtId="165" fontId="11" fillId="0" borderId="76" xfId="1" applyNumberFormat="1" applyFont="1" applyBorder="1"/>
    <xf numFmtId="165" fontId="11" fillId="0" borderId="7" xfId="1" applyNumberFormat="1" applyFont="1" applyBorder="1"/>
    <xf numFmtId="0" fontId="11" fillId="0" borderId="66" xfId="0" applyFont="1" applyBorder="1"/>
    <xf numFmtId="0" fontId="10" fillId="0" borderId="0" xfId="3" applyFont="1" applyAlignment="1">
      <alignment horizontal="left"/>
    </xf>
    <xf numFmtId="0" fontId="11" fillId="0" borderId="66" xfId="3" applyFont="1" applyBorder="1" applyAlignment="1">
      <alignment horizontal="center"/>
    </xf>
    <xf numFmtId="0" fontId="11" fillId="0" borderId="67" xfId="3" applyFont="1" applyBorder="1" applyAlignment="1">
      <alignment horizontal="center"/>
    </xf>
    <xf numFmtId="0" fontId="11" fillId="0" borderId="77" xfId="3" applyFont="1" applyBorder="1" applyAlignment="1">
      <alignment horizontal="center"/>
    </xf>
    <xf numFmtId="0" fontId="10" fillId="0" borderId="13" xfId="3" applyFont="1" applyBorder="1" applyAlignment="1">
      <alignment horizontal="center"/>
    </xf>
    <xf numFmtId="0" fontId="11" fillId="0" borderId="12" xfId="3" applyFont="1" applyBorder="1"/>
    <xf numFmtId="0" fontId="11" fillId="0" borderId="78" xfId="3" applyFont="1" applyBorder="1" applyAlignment="1">
      <alignment horizontal="center"/>
    </xf>
    <xf numFmtId="166" fontId="11" fillId="0" borderId="43" xfId="2" applyNumberFormat="1" applyFont="1" applyFill="1" applyBorder="1"/>
    <xf numFmtId="170" fontId="11" fillId="0" borderId="8" xfId="5" applyNumberFormat="1" applyFont="1" applyBorder="1"/>
    <xf numFmtId="166" fontId="11" fillId="0" borderId="61" xfId="2" applyNumberFormat="1" applyFont="1" applyBorder="1"/>
    <xf numFmtId="0" fontId="11" fillId="0" borderId="81" xfId="0" applyFont="1" applyBorder="1"/>
    <xf numFmtId="176" fontId="11" fillId="0" borderId="67" xfId="0" applyNumberFormat="1" applyFont="1" applyBorder="1"/>
    <xf numFmtId="170" fontId="11" fillId="0" borderId="0" xfId="5" applyNumberFormat="1" applyFont="1" applyBorder="1"/>
    <xf numFmtId="166" fontId="11" fillId="0" borderId="64" xfId="2" applyNumberFormat="1" applyFont="1" applyBorder="1"/>
    <xf numFmtId="166" fontId="11" fillId="0" borderId="65" xfId="2" applyNumberFormat="1" applyFont="1" applyFill="1" applyBorder="1"/>
    <xf numFmtId="0" fontId="11" fillId="0" borderId="67" xfId="0" applyFont="1" applyBorder="1"/>
    <xf numFmtId="0" fontId="11" fillId="0" borderId="22" xfId="0" applyFont="1" applyBorder="1" applyAlignment="1">
      <alignment horizontal="center"/>
    </xf>
    <xf numFmtId="166" fontId="11" fillId="0" borderId="19" xfId="2" applyNumberFormat="1" applyFont="1" applyFill="1" applyBorder="1"/>
    <xf numFmtId="0" fontId="11" fillId="0" borderId="70" xfId="0" applyFont="1" applyBorder="1"/>
    <xf numFmtId="0" fontId="11" fillId="0" borderId="71" xfId="0" applyFont="1" applyBorder="1"/>
    <xf numFmtId="0" fontId="10" fillId="0" borderId="28" xfId="0" applyFont="1" applyBorder="1"/>
    <xf numFmtId="0" fontId="22" fillId="0" borderId="29" xfId="0" applyFont="1" applyBorder="1"/>
    <xf numFmtId="0" fontId="11" fillId="0" borderId="66" xfId="0" applyFont="1" applyBorder="1" applyAlignment="1">
      <alignment horizontal="center" vertical="top"/>
    </xf>
    <xf numFmtId="0" fontId="18" fillId="0" borderId="0" xfId="0" applyFont="1" applyAlignment="1">
      <alignment horizontal="left" vertical="top"/>
    </xf>
    <xf numFmtId="166" fontId="10" fillId="0" borderId="2" xfId="2" applyNumberFormat="1" applyFont="1" applyFill="1" applyBorder="1" applyAlignment="1">
      <alignment vertical="top"/>
    </xf>
    <xf numFmtId="166" fontId="10" fillId="0" borderId="3" xfId="2" applyNumberFormat="1" applyFont="1" applyFill="1" applyBorder="1" applyAlignment="1">
      <alignment vertical="top"/>
    </xf>
    <xf numFmtId="0" fontId="11" fillId="0" borderId="67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43" fontId="11" fillId="0" borderId="23" xfId="1" applyFont="1" applyFill="1" applyBorder="1"/>
    <xf numFmtId="0" fontId="10" fillId="0" borderId="12" xfId="3" applyFont="1" applyBorder="1" applyAlignment="1">
      <alignment horizontal="center"/>
    </xf>
    <xf numFmtId="166" fontId="10" fillId="0" borderId="58" xfId="2" applyNumberFormat="1" applyFont="1" applyBorder="1"/>
    <xf numFmtId="166" fontId="10" fillId="0" borderId="76" xfId="2" applyNumberFormat="1" applyFont="1" applyBorder="1"/>
    <xf numFmtId="174" fontId="10" fillId="0" borderId="27" xfId="0" applyNumberFormat="1" applyFont="1" applyBorder="1" applyAlignment="1">
      <alignment horizontal="center"/>
    </xf>
    <xf numFmtId="174" fontId="10" fillId="0" borderId="47" xfId="0" applyNumberFormat="1" applyFont="1" applyBorder="1" applyAlignment="1">
      <alignment horizontal="center"/>
    </xf>
    <xf numFmtId="174" fontId="10" fillId="0" borderId="25" xfId="0" applyNumberFormat="1" applyFont="1" applyBorder="1" applyAlignment="1">
      <alignment horizontal="center"/>
    </xf>
    <xf numFmtId="174" fontId="10" fillId="0" borderId="26" xfId="0" applyNumberFormat="1" applyFont="1" applyBorder="1" applyAlignment="1">
      <alignment horizontal="center"/>
    </xf>
    <xf numFmtId="174" fontId="10" fillId="0" borderId="2" xfId="0" applyNumberFormat="1" applyFont="1" applyBorder="1" applyAlignment="1">
      <alignment horizontal="center"/>
    </xf>
    <xf numFmtId="174" fontId="10" fillId="0" borderId="19" xfId="0" applyNumberFormat="1" applyFont="1" applyBorder="1" applyAlignment="1">
      <alignment horizontal="center"/>
    </xf>
    <xf numFmtId="0" fontId="11" fillId="0" borderId="0" xfId="0" applyFont="1" applyAlignment="1">
      <alignment vertical="top"/>
    </xf>
    <xf numFmtId="165" fontId="7" fillId="0" borderId="0" xfId="0" applyNumberFormat="1" applyFont="1"/>
    <xf numFmtId="40" fontId="7" fillId="0" borderId="0" xfId="0" applyNumberFormat="1" applyFont="1"/>
    <xf numFmtId="0" fontId="11" fillId="0" borderId="28" xfId="0" applyFont="1" applyBorder="1" applyAlignment="1">
      <alignment vertical="top"/>
    </xf>
    <xf numFmtId="166" fontId="10" fillId="0" borderId="19" xfId="2" applyNumberFormat="1" applyFont="1" applyFill="1" applyBorder="1" applyAlignment="1">
      <alignment vertical="top"/>
    </xf>
    <xf numFmtId="166" fontId="10" fillId="0" borderId="22" xfId="2" applyNumberFormat="1" applyFont="1" applyFill="1" applyBorder="1" applyAlignment="1">
      <alignment vertical="top"/>
    </xf>
    <xf numFmtId="166" fontId="11" fillId="0" borderId="2" xfId="2" applyNumberFormat="1" applyFont="1" applyFill="1" applyBorder="1" applyAlignment="1">
      <alignment vertical="top"/>
    </xf>
    <xf numFmtId="44" fontId="18" fillId="0" borderId="8" xfId="2" applyFont="1" applyBorder="1" applyAlignment="1">
      <alignment horizontal="center" vertical="top" wrapText="1"/>
    </xf>
    <xf numFmtId="165" fontId="10" fillId="0" borderId="66" xfId="1" applyNumberFormat="1" applyFont="1" applyFill="1" applyBorder="1"/>
    <xf numFmtId="171" fontId="10" fillId="0" borderId="79" xfId="0" applyNumberFormat="1" applyFont="1" applyBorder="1" applyAlignment="1">
      <alignment horizontal="center"/>
    </xf>
    <xf numFmtId="0" fontId="30" fillId="0" borderId="0" xfId="0" applyFont="1" applyAlignment="1">
      <alignment horizontal="center" vertical="top"/>
    </xf>
    <xf numFmtId="42" fontId="11" fillId="0" borderId="0" xfId="0" applyNumberFormat="1" applyFont="1" applyAlignment="1">
      <alignment horizontal="centerContinuous" vertical="justify"/>
    </xf>
    <xf numFmtId="10" fontId="11" fillId="0" borderId="0" xfId="5" applyNumberFormat="1" applyFont="1" applyBorder="1" applyAlignment="1">
      <alignment horizontal="centerContinuous" vertical="justify"/>
    </xf>
    <xf numFmtId="168" fontId="11" fillId="0" borderId="2" xfId="2" applyNumberFormat="1" applyFont="1" applyBorder="1"/>
    <xf numFmtId="0" fontId="21" fillId="0" borderId="2" xfId="0" applyFont="1" applyBorder="1" applyAlignment="1">
      <alignment horizontal="left"/>
    </xf>
    <xf numFmtId="42" fontId="11" fillId="0" borderId="4" xfId="0" applyNumberFormat="1" applyFont="1" applyBorder="1"/>
    <xf numFmtId="10" fontId="11" fillId="0" borderId="4" xfId="5" applyNumberFormat="1" applyFont="1" applyBorder="1"/>
    <xf numFmtId="42" fontId="11" fillId="0" borderId="2" xfId="0" applyNumberFormat="1" applyFont="1" applyBorder="1"/>
    <xf numFmtId="42" fontId="11" fillId="0" borderId="2" xfId="0" applyNumberFormat="1" applyFont="1" applyBorder="1" applyAlignment="1">
      <alignment horizontal="center"/>
    </xf>
    <xf numFmtId="0" fontId="21" fillId="0" borderId="0" xfId="0" applyFont="1"/>
    <xf numFmtId="168" fontId="11" fillId="0" borderId="0" xfId="2" applyNumberFormat="1" applyFont="1"/>
    <xf numFmtId="166" fontId="11" fillId="0" borderId="2" xfId="2" applyNumberFormat="1" applyFont="1" applyFill="1" applyBorder="1" applyAlignment="1">
      <alignment horizontal="left"/>
    </xf>
    <xf numFmtId="165" fontId="21" fillId="0" borderId="2" xfId="1" applyNumberFormat="1" applyFont="1" applyFill="1" applyBorder="1" applyAlignment="1">
      <alignment horizontal="left"/>
    </xf>
    <xf numFmtId="166" fontId="11" fillId="0" borderId="4" xfId="2" applyNumberFormat="1" applyFont="1" applyFill="1" applyBorder="1" applyAlignment="1">
      <alignment horizontal="left"/>
    </xf>
    <xf numFmtId="0" fontId="12" fillId="0" borderId="0" xfId="0" applyFont="1"/>
    <xf numFmtId="166" fontId="12" fillId="0" borderId="0" xfId="0" applyNumberFormat="1" applyFont="1"/>
    <xf numFmtId="0" fontId="33" fillId="0" borderId="0" xfId="0" applyFont="1"/>
    <xf numFmtId="165" fontId="11" fillId="0" borderId="2" xfId="1" applyNumberFormat="1" applyFont="1" applyFill="1" applyBorder="1" applyAlignment="1">
      <alignment horizontal="left"/>
    </xf>
    <xf numFmtId="165" fontId="18" fillId="0" borderId="2" xfId="1" applyNumberFormat="1" applyFont="1" applyFill="1" applyBorder="1" applyAlignment="1">
      <alignment horizontal="center"/>
    </xf>
    <xf numFmtId="165" fontId="29" fillId="0" borderId="2" xfId="1" applyNumberFormat="1" applyFont="1" applyFill="1" applyBorder="1" applyAlignment="1">
      <alignment horizontal="center"/>
    </xf>
    <xf numFmtId="165" fontId="18" fillId="0" borderId="2" xfId="1" applyNumberFormat="1" applyFont="1" applyBorder="1" applyAlignment="1">
      <alignment horizontal="center"/>
    </xf>
    <xf numFmtId="168" fontId="11" fillId="0" borderId="2" xfId="2" applyNumberFormat="1" applyFont="1" applyBorder="1" applyAlignment="1">
      <alignment horizontal="center"/>
    </xf>
    <xf numFmtId="0" fontId="11" fillId="0" borderId="13" xfId="0" applyFont="1" applyBorder="1" applyAlignment="1">
      <alignment horizontal="centerContinuous" vertical="justify"/>
    </xf>
    <xf numFmtId="165" fontId="11" fillId="0" borderId="2" xfId="1" applyNumberFormat="1" applyFont="1" applyFill="1" applyBorder="1" applyAlignment="1">
      <alignment horizontal="center"/>
    </xf>
    <xf numFmtId="166" fontId="11" fillId="0" borderId="2" xfId="2" applyNumberFormat="1" applyFont="1" applyFill="1" applyBorder="1" applyAlignment="1">
      <alignment horizontal="center"/>
    </xf>
    <xf numFmtId="0" fontId="11" fillId="0" borderId="78" xfId="0" applyFont="1" applyBorder="1"/>
    <xf numFmtId="165" fontId="21" fillId="0" borderId="2" xfId="1" applyNumberFormat="1" applyFont="1" applyFill="1" applyBorder="1" applyAlignment="1">
      <alignment horizontal="center"/>
    </xf>
    <xf numFmtId="0" fontId="12" fillId="0" borderId="42" xfId="0" applyFont="1" applyBorder="1"/>
    <xf numFmtId="168" fontId="18" fillId="0" borderId="2" xfId="2" applyNumberFormat="1" applyFont="1" applyBorder="1" applyAlignment="1">
      <alignment horizontal="center"/>
    </xf>
    <xf numFmtId="168" fontId="18" fillId="0" borderId="13" xfId="2" applyNumberFormat="1" applyFont="1" applyBorder="1" applyAlignment="1">
      <alignment horizontal="center"/>
    </xf>
    <xf numFmtId="0" fontId="11" fillId="0" borderId="45" xfId="0" applyFont="1" applyBorder="1" applyAlignment="1">
      <alignment horizontal="centerContinuous" vertical="justify"/>
    </xf>
    <xf numFmtId="166" fontId="10" fillId="0" borderId="13" xfId="2" applyNumberFormat="1" applyFont="1" applyFill="1" applyBorder="1"/>
    <xf numFmtId="0" fontId="14" fillId="0" borderId="0" xfId="0" applyFont="1" applyAlignment="1">
      <alignment horizontal="center"/>
    </xf>
    <xf numFmtId="166" fontId="11" fillId="0" borderId="18" xfId="2" applyNumberFormat="1" applyFont="1" applyBorder="1"/>
    <xf numFmtId="0" fontId="10" fillId="0" borderId="0" xfId="3" quotePrefix="1" applyFont="1" applyAlignment="1">
      <alignment horizontal="center"/>
    </xf>
    <xf numFmtId="0" fontId="21" fillId="0" borderId="39" xfId="0" applyFont="1" applyBorder="1" applyAlignment="1">
      <alignment horizontal="center"/>
    </xf>
    <xf numFmtId="0" fontId="34" fillId="0" borderId="0" xfId="0" applyFont="1" applyAlignment="1">
      <alignment horizontal="centerContinuous" vertical="justify"/>
    </xf>
    <xf numFmtId="3" fontId="10" fillId="0" borderId="0" xfId="0" applyNumberFormat="1" applyFont="1" applyAlignment="1">
      <alignment horizontal="centerContinuous" vertical="justify"/>
    </xf>
    <xf numFmtId="0" fontId="11" fillId="0" borderId="13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170" fontId="11" fillId="0" borderId="2" xfId="5" applyNumberFormat="1" applyFont="1" applyFill="1" applyBorder="1"/>
    <xf numFmtId="170" fontId="11" fillId="0" borderId="8" xfId="5" applyNumberFormat="1" applyFont="1" applyFill="1" applyBorder="1"/>
    <xf numFmtId="170" fontId="11" fillId="0" borderId="3" xfId="5" applyNumberFormat="1" applyFont="1" applyFill="1" applyBorder="1"/>
    <xf numFmtId="170" fontId="11" fillId="0" borderId="6" xfId="5" applyNumberFormat="1" applyFont="1" applyFill="1" applyBorder="1"/>
    <xf numFmtId="170" fontId="11" fillId="0" borderId="7" xfId="5" applyNumberFormat="1" applyFont="1" applyBorder="1"/>
    <xf numFmtId="170" fontId="11" fillId="0" borderId="68" xfId="5" applyNumberFormat="1" applyFont="1" applyBorder="1"/>
    <xf numFmtId="170" fontId="11" fillId="0" borderId="6" xfId="5" applyNumberFormat="1" applyFont="1" applyBorder="1"/>
    <xf numFmtId="170" fontId="11" fillId="0" borderId="69" xfId="5" applyNumberFormat="1" applyFont="1" applyBorder="1"/>
    <xf numFmtId="170" fontId="11" fillId="0" borderId="3" xfId="5" applyNumberFormat="1" applyFont="1" applyBorder="1"/>
    <xf numFmtId="0" fontId="11" fillId="0" borderId="9" xfId="4" applyFont="1" applyBorder="1" applyAlignment="1">
      <alignment horizontal="center" wrapText="1"/>
    </xf>
    <xf numFmtId="0" fontId="11" fillId="0" borderId="9" xfId="3" applyFont="1" applyBorder="1" applyAlignment="1">
      <alignment horizontal="center" wrapText="1"/>
    </xf>
    <xf numFmtId="10" fontId="11" fillId="0" borderId="67" xfId="5" applyNumberFormat="1" applyFont="1" applyBorder="1"/>
    <xf numFmtId="10" fontId="11" fillId="0" borderId="66" xfId="5" applyNumberFormat="1" applyFont="1" applyBorder="1"/>
    <xf numFmtId="10" fontId="11" fillId="0" borderId="0" xfId="5" applyNumberFormat="1" applyFont="1" applyBorder="1"/>
    <xf numFmtId="10" fontId="11" fillId="0" borderId="66" xfId="5" applyNumberFormat="1" applyFont="1" applyFill="1" applyBorder="1"/>
    <xf numFmtId="10" fontId="11" fillId="0" borderId="2" xfId="5" applyNumberFormat="1" applyFont="1" applyFill="1" applyBorder="1"/>
    <xf numFmtId="10" fontId="11" fillId="0" borderId="67" xfId="5" applyNumberFormat="1" applyFont="1" applyFill="1" applyBorder="1"/>
    <xf numFmtId="3" fontId="11" fillId="0" borderId="17" xfId="0" applyNumberFormat="1" applyFont="1" applyBorder="1"/>
    <xf numFmtId="166" fontId="11" fillId="0" borderId="6" xfId="0" applyNumberFormat="1" applyFont="1" applyBorder="1" applyAlignment="1">
      <alignment horizontal="left"/>
    </xf>
    <xf numFmtId="165" fontId="11" fillId="0" borderId="6" xfId="1" applyNumberFormat="1" applyFont="1" applyBorder="1" applyAlignment="1">
      <alignment horizontal="left"/>
    </xf>
    <xf numFmtId="0" fontId="9" fillId="0" borderId="8" xfId="0" applyFont="1" applyBorder="1" applyAlignment="1">
      <alignment horizontal="left"/>
    </xf>
    <xf numFmtId="166" fontId="11" fillId="0" borderId="8" xfId="0" applyNumberFormat="1" applyFont="1" applyBorder="1"/>
    <xf numFmtId="44" fontId="11" fillId="0" borderId="8" xfId="0" applyNumberFormat="1" applyFont="1" applyBorder="1"/>
    <xf numFmtId="44" fontId="11" fillId="0" borderId="8" xfId="2" applyFont="1" applyBorder="1"/>
    <xf numFmtId="165" fontId="11" fillId="0" borderId="6" xfId="1" applyNumberFormat="1" applyFont="1" applyFill="1" applyBorder="1"/>
    <xf numFmtId="166" fontId="11" fillId="0" borderId="8" xfId="2" applyNumberFormat="1" applyFont="1" applyFill="1" applyBorder="1" applyAlignment="1">
      <alignment vertical="top"/>
    </xf>
    <xf numFmtId="167" fontId="11" fillId="0" borderId="18" xfId="2" applyNumberFormat="1" applyFont="1" applyBorder="1"/>
    <xf numFmtId="0" fontId="11" fillId="0" borderId="2" xfId="0" applyFont="1" applyBorder="1" applyAlignment="1">
      <alignment horizontal="right"/>
    </xf>
    <xf numFmtId="40" fontId="11" fillId="0" borderId="20" xfId="0" applyNumberFormat="1" applyFont="1" applyBorder="1"/>
    <xf numFmtId="40" fontId="11" fillId="0" borderId="23" xfId="0" applyNumberFormat="1" applyFont="1" applyBorder="1"/>
    <xf numFmtId="40" fontId="11" fillId="0" borderId="29" xfId="0" applyNumberFormat="1" applyFont="1" applyBorder="1"/>
    <xf numFmtId="0" fontId="15" fillId="0" borderId="0" xfId="0" applyFont="1"/>
    <xf numFmtId="0" fontId="11" fillId="0" borderId="19" xfId="3" applyFont="1" applyBorder="1" applyAlignment="1">
      <alignment horizontal="center" wrapText="1"/>
    </xf>
    <xf numFmtId="0" fontId="11" fillId="0" borderId="67" xfId="3" applyFont="1" applyBorder="1" applyAlignment="1">
      <alignment horizontal="center" wrapText="1"/>
    </xf>
    <xf numFmtId="0" fontId="10" fillId="0" borderId="42" xfId="0" applyFont="1" applyBorder="1" applyAlignment="1">
      <alignment horizontal="center"/>
    </xf>
    <xf numFmtId="0" fontId="9" fillId="0" borderId="9" xfId="0" applyFont="1" applyBorder="1"/>
    <xf numFmtId="0" fontId="8" fillId="0" borderId="43" xfId="0" applyFont="1" applyBorder="1" applyAlignment="1">
      <alignment horizontal="center"/>
    </xf>
    <xf numFmtId="0" fontId="9" fillId="0" borderId="49" xfId="0" applyFont="1" applyBorder="1"/>
    <xf numFmtId="0" fontId="11" fillId="0" borderId="24" xfId="0" applyFont="1" applyBorder="1" applyAlignment="1">
      <alignment horizontal="center"/>
    </xf>
    <xf numFmtId="178" fontId="11" fillId="0" borderId="0" xfId="0" applyNumberFormat="1" applyFont="1" applyAlignment="1">
      <alignment horizontal="left"/>
    </xf>
    <xf numFmtId="0" fontId="10" fillId="0" borderId="26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1" fillId="0" borderId="23" xfId="0" applyFont="1" applyBorder="1" applyAlignment="1">
      <alignment horizontal="center"/>
    </xf>
    <xf numFmtId="171" fontId="10" fillId="0" borderId="28" xfId="0" applyNumberFormat="1" applyFont="1" applyBorder="1" applyAlignment="1">
      <alignment horizontal="center"/>
    </xf>
    <xf numFmtId="166" fontId="11" fillId="0" borderId="28" xfId="2" applyNumberFormat="1" applyFont="1" applyFill="1" applyBorder="1"/>
    <xf numFmtId="0" fontId="11" fillId="0" borderId="0" xfId="0" applyFont="1" applyAlignment="1">
      <alignment horizontal="centerContinuous" vertical="top"/>
    </xf>
    <xf numFmtId="166" fontId="11" fillId="4" borderId="10" xfId="2" applyNumberFormat="1" applyFont="1" applyFill="1" applyBorder="1"/>
    <xf numFmtId="0" fontId="12" fillId="0" borderId="0" xfId="0" applyFont="1" applyAlignment="1">
      <alignment horizontal="center"/>
    </xf>
    <xf numFmtId="44" fontId="11" fillId="0" borderId="0" xfId="0" applyNumberFormat="1" applyFont="1"/>
    <xf numFmtId="0" fontId="11" fillId="4" borderId="0" xfId="0" applyFont="1" applyFill="1"/>
    <xf numFmtId="0" fontId="10" fillId="0" borderId="13" xfId="0" applyFont="1" applyBorder="1"/>
    <xf numFmtId="165" fontId="11" fillId="0" borderId="0" xfId="0" applyNumberFormat="1" applyFont="1"/>
    <xf numFmtId="166" fontId="10" fillId="4" borderId="10" xfId="0" applyNumberFormat="1" applyFont="1" applyFill="1" applyBorder="1"/>
    <xf numFmtId="165" fontId="11" fillId="0" borderId="4" xfId="1" applyNumberFormat="1" applyFont="1" applyFill="1" applyBorder="1" applyAlignment="1">
      <alignment horizontal="left"/>
    </xf>
    <xf numFmtId="165" fontId="11" fillId="0" borderId="1" xfId="1" applyNumberFormat="1" applyFont="1" applyFill="1" applyBorder="1"/>
    <xf numFmtId="44" fontId="11" fillId="0" borderId="2" xfId="0" applyNumberFormat="1" applyFont="1" applyBorder="1"/>
    <xf numFmtId="17" fontId="11" fillId="0" borderId="2" xfId="0" applyNumberFormat="1" applyFont="1" applyBorder="1" applyAlignment="1">
      <alignment horizontal="center"/>
    </xf>
    <xf numFmtId="17" fontId="11" fillId="0" borderId="2" xfId="0" applyNumberFormat="1" applyFont="1" applyBorder="1"/>
    <xf numFmtId="168" fontId="11" fillId="0" borderId="18" xfId="2" applyNumberFormat="1" applyFont="1" applyFill="1" applyBorder="1"/>
    <xf numFmtId="0" fontId="11" fillId="0" borderId="2" xfId="0" applyFont="1" applyBorder="1" applyAlignment="1">
      <alignment horizontal="left" vertical="top"/>
    </xf>
    <xf numFmtId="165" fontId="11" fillId="0" borderId="7" xfId="1" applyNumberFormat="1" applyFont="1" applyFill="1" applyBorder="1"/>
    <xf numFmtId="165" fontId="11" fillId="0" borderId="92" xfId="1" applyNumberFormat="1" applyFont="1" applyFill="1" applyBorder="1"/>
    <xf numFmtId="165" fontId="11" fillId="0" borderId="91" xfId="1" applyNumberFormat="1" applyFont="1" applyFill="1" applyBorder="1"/>
    <xf numFmtId="165" fontId="11" fillId="0" borderId="15" xfId="1" applyNumberFormat="1" applyFont="1" applyFill="1" applyBorder="1"/>
    <xf numFmtId="166" fontId="10" fillId="0" borderId="17" xfId="2" applyNumberFormat="1" applyFont="1" applyFill="1" applyBorder="1"/>
    <xf numFmtId="165" fontId="11" fillId="0" borderId="31" xfId="1" applyNumberFormat="1" applyFont="1" applyFill="1" applyBorder="1"/>
    <xf numFmtId="166" fontId="10" fillId="0" borderId="30" xfId="2" applyNumberFormat="1" applyFont="1" applyFill="1" applyBorder="1"/>
    <xf numFmtId="166" fontId="10" fillId="0" borderId="56" xfId="2" applyNumberFormat="1" applyFont="1" applyFill="1" applyBorder="1"/>
    <xf numFmtId="166" fontId="10" fillId="0" borderId="57" xfId="2" applyNumberFormat="1" applyFont="1" applyFill="1" applyBorder="1"/>
    <xf numFmtId="0" fontId="22" fillId="0" borderId="39" xfId="0" applyFont="1" applyBorder="1"/>
    <xf numFmtId="37" fontId="11" fillId="0" borderId="2" xfId="0" applyNumberFormat="1" applyFont="1" applyBorder="1" applyAlignment="1">
      <alignment horizontal="right"/>
    </xf>
    <xf numFmtId="17" fontId="11" fillId="0" borderId="1" xfId="0" applyNumberFormat="1" applyFont="1" applyBorder="1" applyAlignment="1">
      <alignment horizontal="right"/>
    </xf>
    <xf numFmtId="37" fontId="11" fillId="0" borderId="3" xfId="0" applyNumberFormat="1" applyFont="1" applyBorder="1" applyAlignment="1">
      <alignment horizontal="right"/>
    </xf>
    <xf numFmtId="37" fontId="11" fillId="0" borderId="0" xfId="0" applyNumberFormat="1" applyFont="1" applyAlignment="1">
      <alignment horizontal="right"/>
    </xf>
    <xf numFmtId="0" fontId="11" fillId="0" borderId="5" xfId="0" applyFont="1" applyBorder="1" applyAlignment="1">
      <alignment horizontal="center"/>
    </xf>
    <xf numFmtId="37" fontId="11" fillId="0" borderId="7" xfId="0" applyNumberFormat="1" applyFont="1" applyBorder="1" applyAlignment="1">
      <alignment horizontal="right"/>
    </xf>
    <xf numFmtId="41" fontId="11" fillId="0" borderId="3" xfId="0" applyNumberFormat="1" applyFont="1" applyBorder="1" applyAlignment="1">
      <alignment horizontal="center"/>
    </xf>
    <xf numFmtId="37" fontId="11" fillId="0" borderId="4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37" fontId="11" fillId="0" borderId="1" xfId="0" applyNumberFormat="1" applyFont="1" applyBorder="1" applyAlignment="1">
      <alignment horizontal="right"/>
    </xf>
    <xf numFmtId="41" fontId="11" fillId="0" borderId="8" xfId="0" applyNumberFormat="1" applyFont="1" applyBorder="1"/>
    <xf numFmtId="41" fontId="11" fillId="0" borderId="6" xfId="0" applyNumberFormat="1" applyFont="1" applyBorder="1"/>
    <xf numFmtId="41" fontId="11" fillId="0" borderId="11" xfId="0" applyNumberFormat="1" applyFont="1" applyBorder="1"/>
    <xf numFmtId="41" fontId="11" fillId="0" borderId="16" xfId="0" applyNumberFormat="1" applyFont="1" applyBorder="1"/>
    <xf numFmtId="41" fontId="11" fillId="0" borderId="8" xfId="0" applyNumberFormat="1" applyFont="1" applyBorder="1" applyAlignment="1">
      <alignment horizontal="center"/>
    </xf>
    <xf numFmtId="180" fontId="11" fillId="0" borderId="11" xfId="0" applyNumberFormat="1" applyFont="1" applyBorder="1"/>
    <xf numFmtId="166" fontId="11" fillId="0" borderId="18" xfId="2" applyNumberFormat="1" applyFont="1" applyFill="1" applyBorder="1"/>
    <xf numFmtId="0" fontId="35" fillId="0" borderId="0" xfId="0" applyFont="1" applyAlignment="1">
      <alignment horizontal="left"/>
    </xf>
    <xf numFmtId="0" fontId="11" fillId="0" borderId="8" xfId="0" applyFont="1" applyBorder="1" applyAlignment="1">
      <alignment horizontal="center" wrapText="1"/>
    </xf>
    <xf numFmtId="0" fontId="13" fillId="0" borderId="0" xfId="0" applyFont="1" applyAlignment="1">
      <alignment horizontal="right"/>
    </xf>
    <xf numFmtId="166" fontId="11" fillId="0" borderId="54" xfId="2" applyNumberFormat="1" applyFont="1" applyFill="1" applyBorder="1"/>
    <xf numFmtId="166" fontId="11" fillId="0" borderId="4" xfId="2" applyNumberFormat="1" applyFont="1" applyFill="1" applyBorder="1" applyAlignment="1">
      <alignment horizontal="center"/>
    </xf>
    <xf numFmtId="166" fontId="11" fillId="0" borderId="3" xfId="2" applyNumberFormat="1" applyFont="1" applyFill="1" applyBorder="1" applyAlignment="1">
      <alignment horizontal="center"/>
    </xf>
    <xf numFmtId="166" fontId="10" fillId="0" borderId="74" xfId="2" applyNumberFormat="1" applyFont="1" applyBorder="1"/>
    <xf numFmtId="0" fontId="11" fillId="0" borderId="0" xfId="0" applyFont="1" applyAlignment="1">
      <alignment vertical="justify"/>
    </xf>
    <xf numFmtId="0" fontId="11" fillId="0" borderId="0" xfId="0" applyFont="1" applyAlignment="1">
      <alignment horizontal="center" vertical="justify"/>
    </xf>
    <xf numFmtId="3" fontId="11" fillId="0" borderId="0" xfId="0" applyNumberFormat="1" applyFont="1" applyAlignment="1">
      <alignment horizontal="center" vertical="justify"/>
    </xf>
    <xf numFmtId="166" fontId="11" fillId="0" borderId="3" xfId="2" applyNumberFormat="1" applyFont="1" applyFill="1" applyBorder="1" applyAlignment="1">
      <alignment horizontal="left"/>
    </xf>
    <xf numFmtId="0" fontId="14" fillId="0" borderId="0" xfId="0" quotePrefix="1" applyFont="1" applyAlignment="1">
      <alignment horizontal="right"/>
    </xf>
    <xf numFmtId="166" fontId="11" fillId="0" borderId="17" xfId="2" applyNumberFormat="1" applyFont="1" applyFill="1" applyBorder="1"/>
    <xf numFmtId="10" fontId="11" fillId="0" borderId="8" xfId="5" applyNumberFormat="1" applyFont="1" applyBorder="1"/>
    <xf numFmtId="166" fontId="11" fillId="0" borderId="63" xfId="2" applyNumberFormat="1" applyFont="1" applyFill="1" applyBorder="1"/>
    <xf numFmtId="166" fontId="11" fillId="0" borderId="73" xfId="2" applyNumberFormat="1" applyFont="1" applyFill="1" applyBorder="1"/>
    <xf numFmtId="40" fontId="11" fillId="0" borderId="22" xfId="0" applyNumberFormat="1" applyFont="1" applyBorder="1"/>
    <xf numFmtId="40" fontId="11" fillId="0" borderId="19" xfId="0" applyNumberFormat="1" applyFont="1" applyBorder="1"/>
    <xf numFmtId="0" fontId="11" fillId="0" borderId="28" xfId="0" quotePrefix="1" applyFont="1" applyBorder="1" applyAlignment="1">
      <alignment horizontal="center"/>
    </xf>
    <xf numFmtId="0" fontId="11" fillId="0" borderId="29" xfId="0" quotePrefix="1" applyFont="1" applyBorder="1" applyAlignment="1">
      <alignment horizontal="center"/>
    </xf>
    <xf numFmtId="166" fontId="10" fillId="0" borderId="18" xfId="2" applyNumberFormat="1" applyFont="1" applyBorder="1"/>
    <xf numFmtId="165" fontId="11" fillId="0" borderId="8" xfId="1" applyNumberFormat="1" applyFont="1" applyFill="1" applyBorder="1"/>
    <xf numFmtId="0" fontId="11" fillId="0" borderId="2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6" fontId="10" fillId="0" borderId="75" xfId="2" applyNumberFormat="1" applyFont="1" applyBorder="1"/>
    <xf numFmtId="10" fontId="11" fillId="0" borderId="34" xfId="5" applyNumberFormat="1" applyFont="1" applyBorder="1"/>
    <xf numFmtId="10" fontId="11" fillId="0" borderId="51" xfId="0" applyNumberFormat="1" applyFont="1" applyBorder="1"/>
    <xf numFmtId="10" fontId="11" fillId="0" borderId="44" xfId="0" applyNumberFormat="1" applyFont="1" applyBorder="1"/>
    <xf numFmtId="10" fontId="11" fillId="0" borderId="84" xfId="0" applyNumberFormat="1" applyFont="1" applyBorder="1"/>
    <xf numFmtId="10" fontId="11" fillId="0" borderId="82" xfId="0" applyNumberFormat="1" applyFont="1" applyBorder="1"/>
    <xf numFmtId="10" fontId="11" fillId="0" borderId="85" xfId="0" applyNumberFormat="1" applyFont="1" applyBorder="1"/>
    <xf numFmtId="166" fontId="10" fillId="0" borderId="75" xfId="2" applyNumberFormat="1" applyFont="1" applyFill="1" applyBorder="1"/>
    <xf numFmtId="174" fontId="10" fillId="0" borderId="0" xfId="0" applyNumberFormat="1" applyFont="1" applyAlignment="1">
      <alignment horizontal="center"/>
    </xf>
    <xf numFmtId="174" fontId="10" fillId="0" borderId="79" xfId="0" applyNumberFormat="1" applyFont="1" applyBorder="1" applyAlignment="1">
      <alignment horizontal="center"/>
    </xf>
    <xf numFmtId="182" fontId="11" fillId="0" borderId="4" xfId="0" applyNumberFormat="1" applyFont="1" applyBorder="1"/>
    <xf numFmtId="17" fontId="11" fillId="0" borderId="9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2" xfId="0" applyFont="1" applyBorder="1"/>
    <xf numFmtId="0" fontId="10" fillId="0" borderId="42" xfId="0" quotePrefix="1" applyFont="1" applyBorder="1" applyAlignment="1">
      <alignment horizontal="center"/>
    </xf>
    <xf numFmtId="0" fontId="10" fillId="0" borderId="65" xfId="0" applyFont="1" applyBorder="1"/>
    <xf numFmtId="0" fontId="10" fillId="0" borderId="66" xfId="0" applyFont="1" applyBorder="1"/>
    <xf numFmtId="0" fontId="10" fillId="0" borderId="67" xfId="0" applyFont="1" applyBorder="1"/>
    <xf numFmtId="0" fontId="10" fillId="0" borderId="66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1" fillId="0" borderId="32" xfId="0" applyFont="1" applyBorder="1"/>
    <xf numFmtId="0" fontId="11" fillId="0" borderId="86" xfId="0" applyFont="1" applyBorder="1"/>
    <xf numFmtId="0" fontId="10" fillId="0" borderId="61" xfId="0" quotePrefix="1" applyFont="1" applyBorder="1" applyAlignment="1">
      <alignment horizontal="center"/>
    </xf>
    <xf numFmtId="0" fontId="11" fillId="0" borderId="52" xfId="0" applyFont="1" applyBorder="1"/>
    <xf numFmtId="0" fontId="10" fillId="0" borderId="64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0" borderId="48" xfId="0" applyFont="1" applyBorder="1" applyAlignment="1">
      <alignment horizontal="center" vertical="justify"/>
    </xf>
    <xf numFmtId="0" fontId="11" fillId="0" borderId="45" xfId="0" applyFont="1" applyBorder="1"/>
    <xf numFmtId="166" fontId="11" fillId="0" borderId="94" xfId="2" applyNumberFormat="1" applyFont="1" applyBorder="1"/>
    <xf numFmtId="166" fontId="11" fillId="0" borderId="83" xfId="2" applyNumberFormat="1" applyFont="1" applyBorder="1"/>
    <xf numFmtId="0" fontId="11" fillId="0" borderId="82" xfId="0" applyFont="1" applyBorder="1"/>
    <xf numFmtId="0" fontId="10" fillId="0" borderId="87" xfId="0" quotePrefix="1" applyFont="1" applyBorder="1" applyAlignment="1">
      <alignment horizontal="centerContinuous" vertical="justify"/>
    </xf>
    <xf numFmtId="0" fontId="10" fillId="0" borderId="48" xfId="0" quotePrefix="1" applyFont="1" applyBorder="1" applyAlignment="1">
      <alignment horizontal="centerContinuous" vertical="justify"/>
    </xf>
    <xf numFmtId="17" fontId="10" fillId="0" borderId="9" xfId="0" applyNumberFormat="1" applyFont="1" applyBorder="1" applyAlignment="1">
      <alignment horizontal="centerContinuous" vertical="justify"/>
    </xf>
    <xf numFmtId="17" fontId="10" fillId="0" borderId="2" xfId="0" applyNumberFormat="1" applyFont="1" applyBorder="1" applyAlignment="1">
      <alignment horizontal="center" vertical="justify"/>
    </xf>
    <xf numFmtId="0" fontId="10" fillId="0" borderId="77" xfId="0" applyFont="1" applyBorder="1" applyAlignment="1">
      <alignment horizontal="center"/>
    </xf>
    <xf numFmtId="0" fontId="10" fillId="0" borderId="78" xfId="0" applyFont="1" applyBorder="1" applyAlignment="1">
      <alignment horizontal="center"/>
    </xf>
    <xf numFmtId="0" fontId="10" fillId="0" borderId="13" xfId="0" quotePrefix="1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3" xfId="0" quotePrefix="1" applyFont="1" applyBorder="1" applyAlignment="1">
      <alignment horizontal="centerContinuous" vertical="justify"/>
    </xf>
    <xf numFmtId="17" fontId="10" fillId="0" borderId="2" xfId="0" applyNumberFormat="1" applyFont="1" applyBorder="1" applyAlignment="1">
      <alignment horizontal="centerContinuous" vertical="justify"/>
    </xf>
    <xf numFmtId="0" fontId="10" fillId="0" borderId="5" xfId="0" quotePrefix="1" applyFont="1" applyBorder="1" applyAlignment="1">
      <alignment horizontal="centerContinuous" vertical="justify"/>
    </xf>
    <xf numFmtId="0" fontId="11" fillId="0" borderId="77" xfId="0" applyFont="1" applyBorder="1"/>
    <xf numFmtId="0" fontId="11" fillId="0" borderId="5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12" xfId="0" applyFont="1" applyBorder="1" applyAlignment="1">
      <alignment horizontal="centerContinuous" vertical="justify"/>
    </xf>
    <xf numFmtId="0" fontId="8" fillId="0" borderId="12" xfId="0" applyFont="1" applyBorder="1" applyAlignment="1">
      <alignment horizontal="centerContinuous" vertical="justify"/>
    </xf>
    <xf numFmtId="0" fontId="10" fillId="0" borderId="52" xfId="0" applyFont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Continuous" vertical="justify"/>
    </xf>
    <xf numFmtId="0" fontId="10" fillId="2" borderId="2" xfId="0" applyFont="1" applyFill="1" applyBorder="1" applyAlignment="1">
      <alignment horizontal="centerContinuous" vertical="justify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0" borderId="42" xfId="0" applyFont="1" applyBorder="1" applyAlignment="1">
      <alignment horizontal="left"/>
    </xf>
    <xf numFmtId="0" fontId="19" fillId="0" borderId="88" xfId="0" quotePrefix="1" applyFont="1" applyBorder="1" applyAlignment="1">
      <alignment horizontal="center"/>
    </xf>
    <xf numFmtId="0" fontId="19" fillId="0" borderId="48" xfId="0" quotePrefix="1" applyFont="1" applyBorder="1" applyAlignment="1">
      <alignment horizontal="center"/>
    </xf>
    <xf numFmtId="0" fontId="10" fillId="0" borderId="61" xfId="0" applyFont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61" xfId="0" applyFont="1" applyFill="1" applyBorder="1" applyAlignment="1">
      <alignment horizontal="center"/>
    </xf>
    <xf numFmtId="0" fontId="10" fillId="0" borderId="68" xfId="0" applyFont="1" applyBorder="1"/>
    <xf numFmtId="0" fontId="10" fillId="0" borderId="69" xfId="0" applyFont="1" applyBorder="1"/>
    <xf numFmtId="0" fontId="10" fillId="0" borderId="39" xfId="0" applyFont="1" applyBorder="1" applyAlignment="1">
      <alignment horizontal="center"/>
    </xf>
    <xf numFmtId="0" fontId="10" fillId="2" borderId="48" xfId="0" quotePrefix="1" applyFont="1" applyFill="1" applyBorder="1" applyAlignment="1">
      <alignment horizontal="center"/>
    </xf>
    <xf numFmtId="0" fontId="10" fillId="2" borderId="88" xfId="0" quotePrefix="1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39" xfId="0" applyFont="1" applyBorder="1"/>
    <xf numFmtId="0" fontId="10" fillId="0" borderId="43" xfId="0" applyFont="1" applyBorder="1"/>
    <xf numFmtId="0" fontId="10" fillId="0" borderId="61" xfId="0" applyFont="1" applyBorder="1"/>
    <xf numFmtId="0" fontId="10" fillId="0" borderId="12" xfId="0" applyFont="1" applyBorder="1" applyAlignment="1">
      <alignment horizontal="center"/>
    </xf>
    <xf numFmtId="165" fontId="11" fillId="0" borderId="3" xfId="19" applyNumberFormat="1" applyFont="1" applyFill="1" applyBorder="1" applyAlignment="1">
      <alignment horizontal="left"/>
    </xf>
    <xf numFmtId="165" fontId="11" fillId="0" borderId="58" xfId="19" applyNumberFormat="1" applyFont="1" applyFill="1" applyBorder="1" applyAlignment="1">
      <alignment horizontal="left"/>
    </xf>
    <xf numFmtId="165" fontId="11" fillId="0" borderId="76" xfId="19" applyNumberFormat="1" applyFont="1" applyFill="1" applyBorder="1" applyAlignment="1">
      <alignment horizontal="left"/>
    </xf>
    <xf numFmtId="166" fontId="11" fillId="0" borderId="34" xfId="2" applyNumberFormat="1" applyFont="1" applyBorder="1"/>
    <xf numFmtId="170" fontId="11" fillId="0" borderId="95" xfId="5" applyNumberFormat="1" applyFont="1" applyFill="1" applyBorder="1"/>
    <xf numFmtId="170" fontId="11" fillId="0" borderId="44" xfId="5" applyNumberFormat="1" applyFont="1" applyFill="1" applyBorder="1"/>
    <xf numFmtId="170" fontId="11" fillId="0" borderId="82" xfId="5" applyNumberFormat="1" applyFont="1" applyFill="1" applyBorder="1"/>
    <xf numFmtId="170" fontId="11" fillId="0" borderId="83" xfId="5" applyNumberFormat="1" applyFont="1" applyFill="1" applyBorder="1"/>
    <xf numFmtId="170" fontId="11" fillId="0" borderId="84" xfId="5" applyNumberFormat="1" applyFont="1" applyFill="1" applyBorder="1"/>
    <xf numFmtId="170" fontId="11" fillId="0" borderId="85" xfId="5" applyNumberFormat="1" applyFont="1" applyFill="1" applyBorder="1"/>
    <xf numFmtId="0" fontId="10" fillId="0" borderId="43" xfId="0" applyFont="1" applyBorder="1" applyAlignment="1">
      <alignment horizontal="left"/>
    </xf>
    <xf numFmtId="0" fontId="11" fillId="0" borderId="70" xfId="0" applyFont="1" applyBorder="1" applyAlignment="1">
      <alignment horizontal="center" vertical="top"/>
    </xf>
    <xf numFmtId="0" fontId="11" fillId="0" borderId="71" xfId="0" applyFont="1" applyBorder="1" applyAlignment="1">
      <alignment horizontal="center" vertical="top"/>
    </xf>
    <xf numFmtId="0" fontId="11" fillId="0" borderId="77" xfId="0" applyFont="1" applyBorder="1" applyAlignment="1">
      <alignment horizontal="center" vertical="top"/>
    </xf>
    <xf numFmtId="0" fontId="11" fillId="0" borderId="78" xfId="0" applyFont="1" applyBorder="1" applyAlignment="1">
      <alignment horizontal="center" vertical="top"/>
    </xf>
    <xf numFmtId="0" fontId="10" fillId="0" borderId="64" xfId="0" applyFont="1" applyBorder="1" applyAlignment="1">
      <alignment horizontal="centerContinuous" vertical="top"/>
    </xf>
    <xf numFmtId="0" fontId="10" fillId="0" borderId="65" xfId="0" applyFont="1" applyBorder="1" applyAlignment="1">
      <alignment horizontal="center" vertical="top"/>
    </xf>
    <xf numFmtId="166" fontId="10" fillId="0" borderId="68" xfId="2" applyNumberFormat="1" applyFont="1" applyBorder="1" applyAlignment="1">
      <alignment horizontal="center" vertical="top"/>
    </xf>
    <xf numFmtId="166" fontId="10" fillId="0" borderId="69" xfId="2" applyNumberFormat="1" applyFont="1" applyBorder="1" applyAlignment="1">
      <alignment horizontal="center" vertical="top"/>
    </xf>
    <xf numFmtId="0" fontId="37" fillId="0" borderId="5" xfId="0" applyFont="1" applyBorder="1"/>
    <xf numFmtId="0" fontId="11" fillId="4" borderId="66" xfId="0" applyFont="1" applyFill="1" applyBorder="1" applyAlignment="1">
      <alignment horizontal="center"/>
    </xf>
    <xf numFmtId="0" fontId="9" fillId="0" borderId="0" xfId="0" applyFont="1" applyAlignment="1">
      <alignment horizontal="centerContinuous" vertical="justify"/>
    </xf>
    <xf numFmtId="0" fontId="8" fillId="0" borderId="43" xfId="0" applyFont="1" applyBorder="1"/>
    <xf numFmtId="0" fontId="8" fillId="0" borderId="61" xfId="0" applyFont="1" applyBorder="1"/>
    <xf numFmtId="0" fontId="8" fillId="0" borderId="12" xfId="0" applyFont="1" applyBorder="1"/>
    <xf numFmtId="0" fontId="8" fillId="0" borderId="52" xfId="0" applyFont="1" applyBorder="1"/>
    <xf numFmtId="0" fontId="10" fillId="0" borderId="3" xfId="0" quotePrefix="1" applyFont="1" applyBorder="1" applyAlignment="1">
      <alignment horizontal="center"/>
    </xf>
    <xf numFmtId="0" fontId="21" fillId="0" borderId="42" xfId="0" applyFont="1" applyBorder="1" applyAlignment="1">
      <alignment horizontal="left"/>
    </xf>
    <xf numFmtId="0" fontId="9" fillId="0" borderId="42" xfId="0" applyFont="1" applyBorder="1"/>
    <xf numFmtId="0" fontId="9" fillId="0" borderId="43" xfId="0" applyFont="1" applyBorder="1" applyAlignment="1">
      <alignment horizontal="center"/>
    </xf>
    <xf numFmtId="0" fontId="9" fillId="0" borderId="8" xfId="0" applyFont="1" applyBorder="1"/>
    <xf numFmtId="166" fontId="9" fillId="0" borderId="2" xfId="0" applyNumberFormat="1" applyFont="1" applyBorder="1"/>
    <xf numFmtId="0" fontId="9" fillId="0" borderId="13" xfId="0" applyFont="1" applyBorder="1" applyAlignment="1">
      <alignment horizontal="left"/>
    </xf>
    <xf numFmtId="0" fontId="24" fillId="0" borderId="52" xfId="0" applyFont="1" applyBorder="1"/>
    <xf numFmtId="0" fontId="9" fillId="0" borderId="5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166" fontId="10" fillId="0" borderId="8" xfId="2" applyNumberFormat="1" applyFont="1" applyBorder="1"/>
    <xf numFmtId="0" fontId="11" fillId="0" borderId="20" xfId="0" applyFont="1" applyBorder="1" applyAlignment="1">
      <alignment horizontal="center"/>
    </xf>
    <xf numFmtId="0" fontId="24" fillId="0" borderId="4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9" xfId="0" applyFont="1" applyBorder="1"/>
    <xf numFmtId="0" fontId="14" fillId="0" borderId="19" xfId="0" quotePrefix="1" applyFont="1" applyBorder="1" applyAlignment="1">
      <alignment horizontal="center"/>
    </xf>
    <xf numFmtId="0" fontId="13" fillId="0" borderId="19" xfId="0" quotePrefix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13" xfId="0" quotePrefix="1" applyFont="1" applyFill="1" applyBorder="1" applyAlignment="1">
      <alignment horizontal="center"/>
    </xf>
    <xf numFmtId="17" fontId="11" fillId="0" borderId="13" xfId="0" applyNumberFormat="1" applyFont="1" applyBorder="1" applyAlignment="1">
      <alignment horizontal="center"/>
    </xf>
    <xf numFmtId="44" fontId="11" fillId="0" borderId="13" xfId="2" applyFont="1" applyBorder="1" applyAlignment="1">
      <alignment horizontal="center"/>
    </xf>
    <xf numFmtId="169" fontId="11" fillId="0" borderId="46" xfId="5" applyNumberFormat="1" applyFont="1" applyBorder="1"/>
    <xf numFmtId="169" fontId="11" fillId="0" borderId="13" xfId="5" applyNumberFormat="1" applyFont="1" applyBorder="1"/>
    <xf numFmtId="0" fontId="10" fillId="0" borderId="0" xfId="0" quotePrefix="1" applyFont="1" applyAlignment="1">
      <alignment horizontal="center"/>
    </xf>
    <xf numFmtId="166" fontId="11" fillId="0" borderId="0" xfId="2" applyNumberFormat="1" applyFont="1" applyBorder="1" applyAlignment="1">
      <alignment horizontal="center"/>
    </xf>
    <xf numFmtId="10" fontId="10" fillId="0" borderId="0" xfId="5" applyNumberFormat="1" applyFont="1" applyBorder="1"/>
    <xf numFmtId="166" fontId="11" fillId="0" borderId="0" xfId="0" applyNumberFormat="1" applyFont="1" applyAlignment="1">
      <alignment horizontal="center"/>
    </xf>
    <xf numFmtId="166" fontId="10" fillId="0" borderId="0" xfId="5" applyNumberFormat="1" applyFont="1" applyBorder="1"/>
    <xf numFmtId="166" fontId="10" fillId="0" borderId="0" xfId="0" applyNumberFormat="1" applyFont="1"/>
    <xf numFmtId="165" fontId="10" fillId="0" borderId="18" xfId="1" applyNumberFormat="1" applyFont="1" applyBorder="1"/>
    <xf numFmtId="166" fontId="10" fillId="0" borderId="80" xfId="2" applyNumberFormat="1" applyFont="1" applyBorder="1"/>
    <xf numFmtId="169" fontId="11" fillId="0" borderId="86" xfId="5" applyNumberFormat="1" applyFont="1" applyBorder="1"/>
    <xf numFmtId="0" fontId="9" fillId="0" borderId="0" xfId="0" applyFont="1" applyAlignment="1">
      <alignment horizontal="center" vertical="justify"/>
    </xf>
    <xf numFmtId="0" fontId="8" fillId="0" borderId="0" xfId="0" applyFont="1" applyAlignment="1">
      <alignment vertical="justify"/>
    </xf>
    <xf numFmtId="0" fontId="11" fillId="0" borderId="12" xfId="3" applyFont="1" applyBorder="1" applyAlignment="1">
      <alignment horizontal="left"/>
    </xf>
    <xf numFmtId="0" fontId="11" fillId="0" borderId="12" xfId="3" applyFont="1" applyBorder="1" applyAlignment="1">
      <alignment horizontal="center"/>
    </xf>
    <xf numFmtId="0" fontId="10" fillId="2" borderId="77" xfId="3" applyFont="1" applyFill="1" applyBorder="1" applyAlignment="1">
      <alignment horizontal="center" wrapText="1"/>
    </xf>
    <xf numFmtId="0" fontId="10" fillId="0" borderId="13" xfId="3" applyFont="1" applyBorder="1" applyAlignment="1">
      <alignment horizontal="center" vertical="top" wrapText="1"/>
    </xf>
    <xf numFmtId="0" fontId="10" fillId="2" borderId="78" xfId="3" applyFont="1" applyFill="1" applyBorder="1" applyAlignment="1">
      <alignment horizontal="center" wrapText="1"/>
    </xf>
    <xf numFmtId="0" fontId="11" fillId="0" borderId="66" xfId="3" applyFont="1" applyBorder="1" applyAlignment="1">
      <alignment horizontal="center" vertical="top" wrapText="1"/>
    </xf>
    <xf numFmtId="0" fontId="11" fillId="0" borderId="2" xfId="3" applyFont="1" applyBorder="1" applyAlignment="1">
      <alignment horizontal="center" vertical="top" wrapText="1"/>
    </xf>
    <xf numFmtId="0" fontId="11" fillId="0" borderId="67" xfId="3" applyFont="1" applyBorder="1" applyAlignment="1">
      <alignment horizontal="center" vertical="top" wrapText="1"/>
    </xf>
    <xf numFmtId="0" fontId="11" fillId="0" borderId="66" xfId="3" applyFont="1" applyBorder="1" applyAlignment="1">
      <alignment horizontal="center" vertical="center"/>
    </xf>
    <xf numFmtId="0" fontId="19" fillId="0" borderId="2" xfId="0" applyFont="1" applyBorder="1" applyAlignment="1">
      <alignment horizontal="left" wrapText="1"/>
    </xf>
    <xf numFmtId="0" fontId="11" fillId="0" borderId="67" xfId="3" applyFont="1" applyBorder="1" applyAlignment="1">
      <alignment horizontal="center" vertical="center"/>
    </xf>
    <xf numFmtId="166" fontId="19" fillId="0" borderId="4" xfId="2" applyNumberFormat="1" applyFont="1" applyFill="1" applyBorder="1"/>
    <xf numFmtId="0" fontId="10" fillId="0" borderId="13" xfId="4" applyFont="1" applyBorder="1" applyAlignment="1">
      <alignment horizontal="center" wrapText="1"/>
    </xf>
    <xf numFmtId="0" fontId="11" fillId="0" borderId="19" xfId="4" applyFont="1" applyBorder="1" applyAlignment="1">
      <alignment horizontal="center" wrapText="1"/>
    </xf>
    <xf numFmtId="0" fontId="11" fillId="0" borderId="67" xfId="4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0" fontId="14" fillId="0" borderId="0" xfId="3" quotePrefix="1" applyFont="1" applyAlignment="1">
      <alignment horizontal="center"/>
    </xf>
    <xf numFmtId="0" fontId="10" fillId="0" borderId="13" xfId="3" applyFont="1" applyBorder="1" applyAlignment="1">
      <alignment horizontal="center" wrapText="1"/>
    </xf>
    <xf numFmtId="0" fontId="10" fillId="0" borderId="2" xfId="3" applyFont="1" applyBorder="1" applyAlignment="1">
      <alignment horizontal="center"/>
    </xf>
    <xf numFmtId="44" fontId="11" fillId="0" borderId="0" xfId="2" applyFont="1" applyBorder="1" applyAlignment="1">
      <alignment horizontal="center"/>
    </xf>
    <xf numFmtId="0" fontId="11" fillId="0" borderId="86" xfId="3" applyFont="1" applyBorder="1"/>
    <xf numFmtId="166" fontId="10" fillId="0" borderId="8" xfId="2" applyNumberFormat="1" applyFont="1" applyFill="1" applyBorder="1"/>
    <xf numFmtId="165" fontId="10" fillId="0" borderId="9" xfId="1" applyNumberFormat="1" applyFont="1" applyFill="1" applyBorder="1"/>
    <xf numFmtId="0" fontId="10" fillId="0" borderId="42" xfId="0" applyFont="1" applyBorder="1" applyAlignment="1">
      <alignment horizontal="center" vertical="justify"/>
    </xf>
    <xf numFmtId="0" fontId="10" fillId="0" borderId="44" xfId="0" applyFont="1" applyBorder="1"/>
    <xf numFmtId="166" fontId="11" fillId="0" borderId="44" xfId="2" applyNumberFormat="1" applyFont="1" applyBorder="1"/>
    <xf numFmtId="17" fontId="10" fillId="0" borderId="13" xfId="0" applyNumberFormat="1" applyFont="1" applyBorder="1" applyAlignment="1">
      <alignment horizontal="centerContinuous" vertical="justify"/>
    </xf>
    <xf numFmtId="166" fontId="11" fillId="0" borderId="70" xfId="2" applyNumberFormat="1" applyFont="1" applyFill="1" applyBorder="1"/>
    <xf numFmtId="165" fontId="11" fillId="0" borderId="69" xfId="19" applyNumberFormat="1" applyFont="1" applyFill="1" applyBorder="1" applyAlignment="1">
      <alignment horizontal="left"/>
    </xf>
    <xf numFmtId="166" fontId="11" fillId="0" borderId="68" xfId="2" applyNumberFormat="1" applyFont="1" applyFill="1" applyBorder="1"/>
    <xf numFmtId="166" fontId="11" fillId="0" borderId="72" xfId="2" applyNumberFormat="1" applyFont="1" applyFill="1" applyBorder="1"/>
    <xf numFmtId="165" fontId="11" fillId="0" borderId="68" xfId="1" applyNumberFormat="1" applyFont="1" applyFill="1" applyBorder="1"/>
    <xf numFmtId="166" fontId="11" fillId="0" borderId="20" xfId="2" applyNumberFormat="1" applyFont="1" applyBorder="1"/>
    <xf numFmtId="166" fontId="11" fillId="0" borderId="21" xfId="2" applyNumberFormat="1" applyFont="1" applyFill="1" applyBorder="1"/>
    <xf numFmtId="166" fontId="11" fillId="0" borderId="24" xfId="2" applyNumberFormat="1" applyFont="1" applyFill="1" applyBorder="1"/>
    <xf numFmtId="170" fontId="11" fillId="0" borderId="19" xfId="5" applyNumberFormat="1" applyFont="1" applyBorder="1"/>
    <xf numFmtId="170" fontId="11" fillId="0" borderId="22" xfId="5" applyNumberFormat="1" applyFont="1" applyBorder="1"/>
    <xf numFmtId="170" fontId="11" fillId="0" borderId="58" xfId="5" applyNumberFormat="1" applyFont="1" applyBorder="1"/>
    <xf numFmtId="170" fontId="11" fillId="0" borderId="76" xfId="5" applyNumberFormat="1" applyFont="1" applyBorder="1"/>
    <xf numFmtId="0" fontId="10" fillId="0" borderId="24" xfId="0" applyFont="1" applyBorder="1"/>
    <xf numFmtId="0" fontId="10" fillId="0" borderId="22" xfId="0" applyFont="1" applyBorder="1" applyAlignment="1">
      <alignment horizontal="center"/>
    </xf>
    <xf numFmtId="166" fontId="11" fillId="0" borderId="22" xfId="2" applyNumberFormat="1" applyFont="1" applyBorder="1"/>
    <xf numFmtId="38" fontId="11" fillId="0" borderId="22" xfId="0" applyNumberFormat="1" applyFont="1" applyBorder="1"/>
    <xf numFmtId="166" fontId="11" fillId="0" borderId="91" xfId="2" applyNumberFormat="1" applyFont="1" applyBorder="1"/>
    <xf numFmtId="166" fontId="11" fillId="0" borderId="60" xfId="2" applyNumberFormat="1" applyFont="1" applyBorder="1"/>
    <xf numFmtId="166" fontId="11" fillId="0" borderId="76" xfId="2" applyNumberFormat="1" applyFont="1" applyBorder="1"/>
    <xf numFmtId="37" fontId="11" fillId="0" borderId="22" xfId="0" applyNumberFormat="1" applyFont="1" applyBorder="1"/>
    <xf numFmtId="37" fontId="11" fillId="0" borderId="76" xfId="0" applyNumberFormat="1" applyFont="1" applyBorder="1"/>
    <xf numFmtId="173" fontId="11" fillId="0" borderId="76" xfId="5" applyNumberFormat="1" applyFont="1" applyFill="1" applyBorder="1"/>
    <xf numFmtId="166" fontId="11" fillId="0" borderId="60" xfId="2" applyNumberFormat="1" applyFont="1" applyFill="1" applyBorder="1"/>
    <xf numFmtId="166" fontId="10" fillId="0" borderId="57" xfId="2" applyNumberFormat="1" applyFont="1" applyBorder="1"/>
    <xf numFmtId="166" fontId="11" fillId="0" borderId="23" xfId="2" applyNumberFormat="1" applyFont="1" applyBorder="1"/>
    <xf numFmtId="170" fontId="11" fillId="0" borderId="22" xfId="5" applyNumberFormat="1" applyFont="1" applyFill="1" applyBorder="1"/>
    <xf numFmtId="170" fontId="11" fillId="0" borderId="96" xfId="5" applyNumberFormat="1" applyFont="1" applyFill="1" applyBorder="1"/>
    <xf numFmtId="166" fontId="10" fillId="0" borderId="18" xfId="2" applyNumberFormat="1" applyFont="1" applyFill="1" applyBorder="1"/>
    <xf numFmtId="174" fontId="10" fillId="0" borderId="22" xfId="0" applyNumberFormat="1" applyFont="1" applyBorder="1" applyAlignment="1">
      <alignment horizontal="center"/>
    </xf>
    <xf numFmtId="165" fontId="11" fillId="0" borderId="29" xfId="1" applyNumberFormat="1" applyFont="1" applyFill="1" applyBorder="1"/>
    <xf numFmtId="165" fontId="11" fillId="0" borderId="28" xfId="1" applyNumberFormat="1" applyFont="1" applyFill="1" applyBorder="1" applyAlignment="1">
      <alignment vertical="center"/>
    </xf>
    <xf numFmtId="40" fontId="11" fillId="0" borderId="28" xfId="0" applyNumberFormat="1" applyFont="1" applyBorder="1"/>
    <xf numFmtId="166" fontId="10" fillId="0" borderId="28" xfId="2" applyNumberFormat="1" applyFont="1" applyFill="1" applyBorder="1"/>
    <xf numFmtId="166" fontId="10" fillId="0" borderId="62" xfId="2" applyNumberFormat="1" applyFont="1" applyBorder="1"/>
    <xf numFmtId="165" fontId="10" fillId="0" borderId="30" xfId="1" applyNumberFormat="1" applyFont="1" applyBorder="1"/>
    <xf numFmtId="165" fontId="10" fillId="0" borderId="29" xfId="1" applyNumberFormat="1" applyFont="1" applyBorder="1"/>
    <xf numFmtId="0" fontId="10" fillId="0" borderId="64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38" xfId="0" applyFont="1" applyBorder="1"/>
    <xf numFmtId="0" fontId="11" fillId="0" borderId="97" xfId="0" applyFont="1" applyBorder="1"/>
    <xf numFmtId="0" fontId="18" fillId="0" borderId="2" xfId="0" applyFont="1" applyBorder="1" applyAlignment="1">
      <alignment horizontal="left" wrapText="1"/>
    </xf>
    <xf numFmtId="0" fontId="11" fillId="0" borderId="28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166" fontId="11" fillId="0" borderId="19" xfId="2" applyNumberFormat="1" applyFont="1" applyFill="1" applyBorder="1" applyAlignment="1">
      <alignment horizontal="right"/>
    </xf>
    <xf numFmtId="166" fontId="11" fillId="0" borderId="2" xfId="2" applyNumberFormat="1" applyFont="1" applyFill="1" applyBorder="1" applyAlignment="1">
      <alignment horizontal="right"/>
    </xf>
    <xf numFmtId="166" fontId="11" fillId="0" borderId="22" xfId="2" applyNumberFormat="1" applyFont="1" applyFill="1" applyBorder="1" applyAlignment="1">
      <alignment horizontal="right"/>
    </xf>
    <xf numFmtId="166" fontId="11" fillId="0" borderId="0" xfId="2" applyNumberFormat="1" applyFont="1" applyFill="1" applyBorder="1" applyAlignment="1">
      <alignment horizontal="right"/>
    </xf>
    <xf numFmtId="166" fontId="11" fillId="0" borderId="28" xfId="2" applyNumberFormat="1" applyFont="1" applyFill="1" applyBorder="1" applyAlignment="1">
      <alignment horizontal="right"/>
    </xf>
    <xf numFmtId="173" fontId="11" fillId="0" borderId="3" xfId="5" applyNumberFormat="1" applyFont="1" applyBorder="1"/>
    <xf numFmtId="173" fontId="11" fillId="0" borderId="7" xfId="5" applyNumberFormat="1" applyFont="1" applyBorder="1"/>
    <xf numFmtId="10" fontId="11" fillId="0" borderId="3" xfId="5" applyNumberFormat="1" applyFont="1" applyBorder="1"/>
    <xf numFmtId="44" fontId="11" fillId="0" borderId="2" xfId="2" applyFont="1" applyFill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166" fontId="10" fillId="0" borderId="2" xfId="2" applyNumberFormat="1" applyFont="1" applyFill="1" applyBorder="1" applyAlignment="1">
      <alignment horizontal="center"/>
    </xf>
    <xf numFmtId="166" fontId="10" fillId="0" borderId="2" xfId="0" applyNumberFormat="1" applyFont="1" applyBorder="1" applyAlignment="1">
      <alignment horizontal="center"/>
    </xf>
    <xf numFmtId="10" fontId="10" fillId="0" borderId="3" xfId="5" applyNumberFormat="1" applyFont="1" applyFill="1" applyBorder="1"/>
    <xf numFmtId="10" fontId="10" fillId="0" borderId="1" xfId="5" applyNumberFormat="1" applyFont="1" applyFill="1" applyBorder="1"/>
    <xf numFmtId="166" fontId="10" fillId="0" borderId="4" xfId="0" applyNumberFormat="1" applyFont="1" applyBorder="1" applyAlignment="1">
      <alignment horizontal="center"/>
    </xf>
    <xf numFmtId="166" fontId="10" fillId="0" borderId="4" xfId="5" applyNumberFormat="1" applyFont="1" applyFill="1" applyBorder="1"/>
    <xf numFmtId="0" fontId="9" fillId="0" borderId="12" xfId="0" applyFont="1" applyBorder="1" applyAlignment="1">
      <alignment horizontal="left"/>
    </xf>
    <xf numFmtId="0" fontId="9" fillId="0" borderId="13" xfId="0" applyFont="1" applyBorder="1"/>
    <xf numFmtId="0" fontId="9" fillId="0" borderId="12" xfId="0" applyFont="1" applyBorder="1" applyAlignment="1">
      <alignment horizontal="center"/>
    </xf>
    <xf numFmtId="0" fontId="10" fillId="0" borderId="0" xfId="20" applyFont="1" applyAlignment="1">
      <alignment horizontal="left" vertical="top" wrapText="1"/>
    </xf>
    <xf numFmtId="165" fontId="11" fillId="0" borderId="0" xfId="21" applyNumberFormat="1" applyFont="1" applyBorder="1" applyAlignment="1">
      <alignment vertical="top"/>
    </xf>
    <xf numFmtId="165" fontId="11" fillId="0" borderId="0" xfId="21" applyNumberFormat="1" applyFont="1" applyBorder="1" applyAlignment="1">
      <alignment horizontal="center" vertical="top"/>
    </xf>
    <xf numFmtId="165" fontId="11" fillId="0" borderId="7" xfId="21" applyNumberFormat="1" applyFont="1" applyBorder="1" applyAlignment="1">
      <alignment vertical="top"/>
    </xf>
    <xf numFmtId="0" fontId="12" fillId="0" borderId="19" xfId="0" applyFont="1" applyBorder="1" applyAlignment="1">
      <alignment horizontal="left"/>
    </xf>
    <xf numFmtId="165" fontId="11" fillId="0" borderId="8" xfId="1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38" fillId="0" borderId="0" xfId="0" applyFont="1" applyAlignment="1">
      <alignment wrapText="1"/>
    </xf>
    <xf numFmtId="0" fontId="39" fillId="0" borderId="0" xfId="0" applyFont="1"/>
    <xf numFmtId="0" fontId="38" fillId="0" borderId="0" xfId="0" applyFont="1"/>
    <xf numFmtId="0" fontId="10" fillId="0" borderId="2" xfId="0" applyFont="1" applyBorder="1" applyAlignment="1">
      <alignment horizontal="right"/>
    </xf>
    <xf numFmtId="41" fontId="10" fillId="0" borderId="8" xfId="0" applyNumberFormat="1" applyFont="1" applyBorder="1"/>
    <xf numFmtId="41" fontId="11" fillId="0" borderId="18" xfId="0" applyNumberFormat="1" applyFont="1" applyBorder="1"/>
    <xf numFmtId="0" fontId="18" fillId="0" borderId="0" xfId="14" applyFont="1"/>
    <xf numFmtId="0" fontId="10" fillId="0" borderId="12" xfId="14" applyFont="1" applyBorder="1" applyAlignment="1">
      <alignment horizontal="center"/>
    </xf>
    <xf numFmtId="0" fontId="19" fillId="0" borderId="89" xfId="14" applyFont="1" applyBorder="1" applyAlignment="1">
      <alignment horizontal="center"/>
    </xf>
    <xf numFmtId="0" fontId="19" fillId="0" borderId="47" xfId="14" applyFont="1" applyBorder="1" applyAlignment="1">
      <alignment horizontal="center"/>
    </xf>
    <xf numFmtId="0" fontId="19" fillId="0" borderId="90" xfId="14" applyFont="1" applyBorder="1" applyAlignment="1">
      <alignment horizontal="center"/>
    </xf>
    <xf numFmtId="0" fontId="19" fillId="0" borderId="79" xfId="14" applyFont="1" applyBorder="1" applyAlignment="1">
      <alignment horizontal="center"/>
    </xf>
    <xf numFmtId="0" fontId="19" fillId="0" borderId="0" xfId="14" applyFont="1"/>
    <xf numFmtId="0" fontId="19" fillId="0" borderId="0" xfId="14" applyFont="1" applyAlignment="1">
      <alignment horizontal="center" vertical="top" wrapText="1"/>
    </xf>
    <xf numFmtId="165" fontId="9" fillId="0" borderId="0" xfId="15" applyNumberFormat="1" applyFont="1" applyBorder="1" applyAlignment="1">
      <alignment vertical="top"/>
    </xf>
    <xf numFmtId="165" fontId="19" fillId="0" borderId="0" xfId="15" applyNumberFormat="1" applyFont="1" applyBorder="1" applyAlignment="1">
      <alignment vertical="top"/>
    </xf>
    <xf numFmtId="179" fontId="18" fillId="0" borderId="7" xfId="14" applyNumberFormat="1" applyFont="1" applyBorder="1"/>
    <xf numFmtId="179" fontId="18" fillId="0" borderId="0" xfId="14" applyNumberFormat="1" applyFont="1"/>
    <xf numFmtId="165" fontId="19" fillId="0" borderId="17" xfId="1" applyNumberFormat="1" applyFont="1" applyFill="1" applyBorder="1"/>
    <xf numFmtId="0" fontId="19" fillId="0" borderId="0" xfId="14" applyFont="1" applyAlignment="1">
      <alignment horizontal="center"/>
    </xf>
    <xf numFmtId="174" fontId="10" fillId="0" borderId="28" xfId="0" applyNumberFormat="1" applyFont="1" applyBorder="1" applyAlignment="1">
      <alignment horizontal="right"/>
    </xf>
    <xf numFmtId="0" fontId="7" fillId="0" borderId="0" xfId="0" applyFont="1" applyAlignment="1">
      <alignment vertical="top"/>
    </xf>
    <xf numFmtId="0" fontId="10" fillId="0" borderId="2" xfId="3" applyFont="1" applyBorder="1" applyAlignment="1">
      <alignment horizontal="right"/>
    </xf>
    <xf numFmtId="0" fontId="10" fillId="0" borderId="0" xfId="3" applyFont="1"/>
    <xf numFmtId="169" fontId="10" fillId="0" borderId="32" xfId="5" applyNumberFormat="1" applyFont="1" applyBorder="1" applyAlignment="1">
      <alignment horizontal="center"/>
    </xf>
    <xf numFmtId="0" fontId="10" fillId="0" borderId="12" xfId="0" applyFont="1" applyBorder="1" applyAlignment="1">
      <alignment horizontal="right"/>
    </xf>
    <xf numFmtId="0" fontId="10" fillId="0" borderId="42" xfId="3" applyFont="1" applyBorder="1" applyAlignment="1">
      <alignment horizontal="right"/>
    </xf>
    <xf numFmtId="0" fontId="10" fillId="0" borderId="8" xfId="3" applyFont="1" applyBorder="1" applyAlignment="1">
      <alignment horizontal="right"/>
    </xf>
    <xf numFmtId="166" fontId="10" fillId="0" borderId="2" xfId="2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8" fillId="0" borderId="2" xfId="0" applyFont="1" applyBorder="1" applyAlignment="1">
      <alignment horizontal="left"/>
    </xf>
    <xf numFmtId="0" fontId="8" fillId="0" borderId="2" xfId="0" applyFont="1" applyBorder="1"/>
    <xf numFmtId="0" fontId="8" fillId="0" borderId="13" xfId="0" applyFont="1" applyBorder="1"/>
    <xf numFmtId="166" fontId="10" fillId="0" borderId="61" xfId="2" applyNumberFormat="1" applyFont="1" applyBorder="1" applyAlignment="1">
      <alignment horizontal="right"/>
    </xf>
    <xf numFmtId="166" fontId="10" fillId="0" borderId="0" xfId="2" applyNumberFormat="1" applyFont="1" applyBorder="1" applyAlignment="1">
      <alignment horizontal="right"/>
    </xf>
    <xf numFmtId="166" fontId="25" fillId="0" borderId="0" xfId="0" applyNumberFormat="1" applyFont="1" applyAlignment="1">
      <alignment horizontal="right"/>
    </xf>
    <xf numFmtId="0" fontId="8" fillId="0" borderId="0" xfId="0" applyFont="1"/>
    <xf numFmtId="0" fontId="10" fillId="0" borderId="28" xfId="0" applyFont="1" applyBorder="1" applyAlignment="1">
      <alignment horizontal="right"/>
    </xf>
    <xf numFmtId="177" fontId="11" fillId="0" borderId="76" xfId="2" applyNumberFormat="1" applyFont="1" applyFill="1" applyBorder="1"/>
    <xf numFmtId="170" fontId="11" fillId="0" borderId="19" xfId="5" applyNumberFormat="1" applyFont="1" applyFill="1" applyBorder="1"/>
    <xf numFmtId="170" fontId="11" fillId="0" borderId="58" xfId="5" applyNumberFormat="1" applyFont="1" applyFill="1" applyBorder="1"/>
    <xf numFmtId="175" fontId="11" fillId="0" borderId="35" xfId="1" applyNumberFormat="1" applyFont="1" applyBorder="1"/>
    <xf numFmtId="10" fontId="11" fillId="0" borderId="8" xfId="5" applyNumberFormat="1" applyFont="1" applyFill="1" applyBorder="1"/>
    <xf numFmtId="0" fontId="11" fillId="0" borderId="34" xfId="0" applyFont="1" applyBorder="1"/>
    <xf numFmtId="0" fontId="7" fillId="0" borderId="9" xfId="0" applyFont="1" applyBorder="1"/>
    <xf numFmtId="10" fontId="11" fillId="0" borderId="35" xfId="5" applyNumberFormat="1" applyFont="1" applyBorder="1"/>
    <xf numFmtId="10" fontId="11" fillId="0" borderId="68" xfId="5" applyNumberFormat="1" applyFont="1" applyFill="1" applyBorder="1"/>
    <xf numFmtId="10" fontId="11" fillId="0" borderId="6" xfId="5" applyNumberFormat="1" applyFont="1" applyBorder="1"/>
    <xf numFmtId="10" fontId="11" fillId="0" borderId="69" xfId="5" applyNumberFormat="1" applyFont="1" applyBorder="1"/>
    <xf numFmtId="10" fontId="11" fillId="0" borderId="68" xfId="5" applyNumberFormat="1" applyFont="1" applyBorder="1"/>
    <xf numFmtId="0" fontId="7" fillId="0" borderId="28" xfId="0" applyFont="1" applyBorder="1"/>
    <xf numFmtId="0" fontId="7" fillId="0" borderId="45" xfId="0" applyFont="1" applyBorder="1"/>
    <xf numFmtId="0" fontId="7" fillId="0" borderId="29" xfId="0" applyFont="1" applyBorder="1"/>
    <xf numFmtId="0" fontId="11" fillId="0" borderId="0" xfId="0" applyFont="1" applyAlignment="1">
      <alignment horizontal="right"/>
    </xf>
    <xf numFmtId="17" fontId="10" fillId="0" borderId="2" xfId="0" applyNumberFormat="1" applyFont="1" applyBorder="1" applyAlignment="1">
      <alignment horizontal="right"/>
    </xf>
    <xf numFmtId="17" fontId="10" fillId="0" borderId="9" xfId="0" applyNumberFormat="1" applyFont="1" applyBorder="1" applyAlignment="1">
      <alignment horizontal="right"/>
    </xf>
    <xf numFmtId="0" fontId="10" fillId="0" borderId="21" xfId="0" applyFont="1" applyBorder="1"/>
    <xf numFmtId="3" fontId="10" fillId="0" borderId="19" xfId="0" applyNumberFormat="1" applyFont="1" applyBorder="1" applyAlignment="1">
      <alignment horizontal="left"/>
    </xf>
    <xf numFmtId="3" fontId="10" fillId="0" borderId="93" xfId="0" applyNumberFormat="1" applyFont="1" applyBorder="1" applyAlignment="1">
      <alignment horizontal="left"/>
    </xf>
    <xf numFmtId="0" fontId="10" fillId="0" borderId="8" xfId="0" applyFont="1" applyBorder="1"/>
    <xf numFmtId="166" fontId="10" fillId="0" borderId="8" xfId="0" applyNumberFormat="1" applyFont="1" applyBorder="1"/>
    <xf numFmtId="0" fontId="10" fillId="0" borderId="52" xfId="0" applyFont="1" applyBorder="1"/>
    <xf numFmtId="0" fontId="10" fillId="0" borderId="8" xfId="0" applyFont="1" applyBorder="1" applyAlignment="1">
      <alignment horizontal="left"/>
    </xf>
    <xf numFmtId="165" fontId="10" fillId="0" borderId="13" xfId="1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Continuous" vertical="justify"/>
    </xf>
    <xf numFmtId="17" fontId="10" fillId="0" borderId="44" xfId="0" applyNumberFormat="1" applyFont="1" applyBorder="1" applyAlignment="1">
      <alignment horizontal="centerContinuous" vertical="justify"/>
    </xf>
    <xf numFmtId="0" fontId="40" fillId="0" borderId="0" xfId="20" applyFont="1"/>
    <xf numFmtId="0" fontId="10" fillId="0" borderId="0" xfId="20" applyFont="1" applyAlignment="1">
      <alignment horizontal="center"/>
    </xf>
    <xf numFmtId="0" fontId="10" fillId="0" borderId="12" xfId="20" applyFont="1" applyBorder="1" applyAlignment="1">
      <alignment horizontal="center"/>
    </xf>
    <xf numFmtId="0" fontId="11" fillId="0" borderId="0" xfId="20" applyFont="1" applyAlignment="1">
      <alignment horizontal="center"/>
    </xf>
    <xf numFmtId="0" fontId="41" fillId="0" borderId="0" xfId="20" applyFont="1"/>
    <xf numFmtId="0" fontId="11" fillId="0" borderId="0" xfId="20" applyFont="1"/>
    <xf numFmtId="179" fontId="11" fillId="0" borderId="7" xfId="20" applyNumberFormat="1" applyFont="1" applyBorder="1"/>
    <xf numFmtId="179" fontId="11" fillId="0" borderId="0" xfId="20" applyNumberFormat="1" applyFont="1" applyAlignment="1">
      <alignment horizontal="center"/>
    </xf>
    <xf numFmtId="179" fontId="11" fillId="0" borderId="0" xfId="20" applyNumberFormat="1" applyFont="1"/>
    <xf numFmtId="0" fontId="40" fillId="0" borderId="0" xfId="20" applyFont="1" applyAlignment="1">
      <alignment horizontal="left"/>
    </xf>
    <xf numFmtId="0" fontId="11" fillId="0" borderId="7" xfId="20" applyFont="1" applyBorder="1" applyAlignment="1">
      <alignment horizontal="center"/>
    </xf>
    <xf numFmtId="165" fontId="10" fillId="0" borderId="7" xfId="1" applyNumberFormat="1" applyFont="1" applyBorder="1"/>
    <xf numFmtId="0" fontId="11" fillId="0" borderId="0" xfId="20" applyFont="1" applyAlignment="1">
      <alignment horizontal="left"/>
    </xf>
    <xf numFmtId="165" fontId="11" fillId="0" borderId="7" xfId="1" applyNumberFormat="1" applyFont="1" applyBorder="1" applyAlignment="1">
      <alignment horizontal="center"/>
    </xf>
    <xf numFmtId="0" fontId="11" fillId="0" borderId="7" xfId="20" applyFont="1" applyBorder="1"/>
    <xf numFmtId="0" fontId="11" fillId="0" borderId="22" xfId="0" applyFont="1" applyBorder="1" applyAlignment="1">
      <alignment horizontal="center" vertical="top"/>
    </xf>
    <xf numFmtId="166" fontId="10" fillId="0" borderId="28" xfId="2" applyNumberFormat="1" applyFont="1" applyFill="1" applyBorder="1" applyAlignment="1">
      <alignment vertical="top"/>
    </xf>
    <xf numFmtId="0" fontId="19" fillId="0" borderId="79" xfId="14" applyFont="1" applyBorder="1" applyAlignment="1">
      <alignment horizontal="center" vertical="center" wrapText="1"/>
    </xf>
    <xf numFmtId="165" fontId="9" fillId="0" borderId="77" xfId="15" applyNumberFormat="1" applyFont="1" applyBorder="1" applyAlignment="1">
      <alignment vertical="center"/>
    </xf>
    <xf numFmtId="165" fontId="19" fillId="0" borderId="29" xfId="15" applyNumberFormat="1" applyFont="1" applyBorder="1" applyAlignment="1">
      <alignment vertical="center"/>
    </xf>
    <xf numFmtId="166" fontId="11" fillId="0" borderId="80" xfId="0" applyNumberFormat="1" applyFont="1" applyBorder="1"/>
    <xf numFmtId="166" fontId="11" fillId="0" borderId="3" xfId="0" applyNumberFormat="1" applyFont="1" applyBorder="1"/>
    <xf numFmtId="166" fontId="11" fillId="0" borderId="0" xfId="0" applyNumberFormat="1" applyFont="1" applyAlignment="1">
      <alignment horizontal="right"/>
    </xf>
    <xf numFmtId="165" fontId="11" fillId="0" borderId="22" xfId="1" applyNumberFormat="1" applyFont="1" applyFill="1" applyBorder="1" applyAlignment="1">
      <alignment horizontal="right"/>
    </xf>
    <xf numFmtId="173" fontId="11" fillId="0" borderId="0" xfId="5" applyNumberFormat="1" applyFont="1"/>
    <xf numFmtId="173" fontId="11" fillId="0" borderId="0" xfId="0" applyNumberFormat="1" applyFont="1"/>
    <xf numFmtId="0" fontId="10" fillId="0" borderId="25" xfId="0" applyFont="1" applyBorder="1" applyAlignment="1">
      <alignment horizontal="center" wrapText="1"/>
    </xf>
    <xf numFmtId="0" fontId="17" fillId="0" borderId="12" xfId="0" applyFont="1" applyBorder="1"/>
    <xf numFmtId="0" fontId="11" fillId="0" borderId="76" xfId="0" applyFont="1" applyBorder="1" applyAlignment="1">
      <alignment horizontal="center"/>
    </xf>
    <xf numFmtId="166" fontId="11" fillId="0" borderId="19" xfId="2" applyNumberFormat="1" applyFont="1" applyBorder="1"/>
    <xf numFmtId="170" fontId="10" fillId="0" borderId="55" xfId="0" applyNumberFormat="1" applyFont="1" applyBorder="1"/>
    <xf numFmtId="0" fontId="11" fillId="0" borderId="91" xfId="0" applyFont="1" applyBorder="1"/>
    <xf numFmtId="10" fontId="11" fillId="0" borderId="22" xfId="5" applyNumberFormat="1" applyFont="1" applyBorder="1"/>
    <xf numFmtId="10" fontId="11" fillId="0" borderId="76" xfId="5" applyNumberFormat="1" applyFont="1" applyBorder="1"/>
    <xf numFmtId="10" fontId="11" fillId="0" borderId="96" xfId="0" applyNumberFormat="1" applyFont="1" applyBorder="1"/>
    <xf numFmtId="166" fontId="11" fillId="0" borderId="12" xfId="2" applyNumberFormat="1" applyFont="1" applyBorder="1"/>
    <xf numFmtId="38" fontId="11" fillId="0" borderId="0" xfId="0" applyNumberFormat="1" applyFont="1"/>
    <xf numFmtId="168" fontId="11" fillId="0" borderId="7" xfId="2" applyNumberFormat="1" applyFont="1" applyFill="1" applyBorder="1"/>
    <xf numFmtId="166" fontId="11" fillId="0" borderId="15" xfId="2" applyNumberFormat="1" applyFont="1" applyBorder="1"/>
    <xf numFmtId="166" fontId="11" fillId="0" borderId="98" xfId="2" applyNumberFormat="1" applyFont="1" applyBorder="1"/>
    <xf numFmtId="166" fontId="11" fillId="0" borderId="7" xfId="2" applyNumberFormat="1" applyFont="1" applyBorder="1"/>
    <xf numFmtId="37" fontId="11" fillId="0" borderId="0" xfId="0" applyNumberFormat="1" applyFont="1"/>
    <xf numFmtId="37" fontId="11" fillId="0" borderId="7" xfId="0" applyNumberFormat="1" applyFont="1" applyBorder="1"/>
    <xf numFmtId="166" fontId="11" fillId="0" borderId="43" xfId="2" applyNumberFormat="1" applyFont="1" applyBorder="1"/>
    <xf numFmtId="181" fontId="11" fillId="0" borderId="0" xfId="0" applyNumberFormat="1" applyFont="1"/>
    <xf numFmtId="181" fontId="11" fillId="0" borderId="7" xfId="5" applyNumberFormat="1" applyFont="1" applyBorder="1"/>
    <xf numFmtId="181" fontId="11" fillId="0" borderId="83" xfId="0" applyNumberFormat="1" applyFont="1" applyBorder="1"/>
    <xf numFmtId="0" fontId="7" fillId="0" borderId="22" xfId="0" applyFont="1" applyBorder="1"/>
    <xf numFmtId="0" fontId="7" fillId="0" borderId="23" xfId="0" applyFont="1" applyBorder="1"/>
    <xf numFmtId="166" fontId="18" fillId="0" borderId="28" xfId="2" applyNumberFormat="1" applyFont="1" applyBorder="1" applyAlignment="1">
      <alignment horizontal="center"/>
    </xf>
    <xf numFmtId="38" fontId="18" fillId="0" borderId="28" xfId="0" applyNumberFormat="1" applyFont="1" applyBorder="1" applyAlignment="1">
      <alignment horizontal="center"/>
    </xf>
    <xf numFmtId="168" fontId="18" fillId="0" borderId="28" xfId="2" applyNumberFormat="1" applyFont="1" applyBorder="1" applyAlignment="1">
      <alignment horizontal="center" wrapText="1"/>
    </xf>
    <xf numFmtId="37" fontId="18" fillId="0" borderId="28" xfId="0" applyNumberFormat="1" applyFont="1" applyBorder="1" applyAlignment="1">
      <alignment horizontal="center"/>
    </xf>
    <xf numFmtId="165" fontId="11" fillId="0" borderId="6" xfId="19" applyNumberFormat="1" applyFont="1" applyFill="1" applyBorder="1" applyAlignment="1">
      <alignment horizontal="left"/>
    </xf>
    <xf numFmtId="164" fontId="11" fillId="0" borderId="13" xfId="0" applyNumberFormat="1" applyFont="1" applyBorder="1"/>
    <xf numFmtId="0" fontId="8" fillId="0" borderId="0" xfId="1" applyNumberFormat="1" applyFont="1" applyFill="1" applyBorder="1" applyAlignment="1">
      <alignment horizontal="left"/>
    </xf>
    <xf numFmtId="43" fontId="11" fillId="0" borderId="0" xfId="1" applyFont="1" applyFill="1" applyBorder="1"/>
    <xf numFmtId="170" fontId="10" fillId="0" borderId="54" xfId="0" applyNumberFormat="1" applyFont="1" applyBorder="1"/>
    <xf numFmtId="166" fontId="11" fillId="0" borderId="8" xfId="1" applyNumberFormat="1" applyFont="1" applyBorder="1"/>
    <xf numFmtId="166" fontId="11" fillId="0" borderId="2" xfId="1" applyNumberFormat="1" applyFont="1" applyBorder="1"/>
    <xf numFmtId="166" fontId="11" fillId="0" borderId="6" xfId="1" applyNumberFormat="1" applyFont="1" applyFill="1" applyBorder="1"/>
    <xf numFmtId="166" fontId="11" fillId="0" borderId="3" xfId="1" applyNumberFormat="1" applyFont="1" applyFill="1" applyBorder="1"/>
    <xf numFmtId="166" fontId="11" fillId="0" borderId="6" xfId="1" applyNumberFormat="1" applyFont="1" applyBorder="1"/>
    <xf numFmtId="166" fontId="11" fillId="0" borderId="3" xfId="1" applyNumberFormat="1" applyFont="1" applyBorder="1"/>
    <xf numFmtId="0" fontId="11" fillId="0" borderId="19" xfId="0" applyFont="1" applyBorder="1" applyAlignment="1">
      <alignment horizontal="center" wrapText="1"/>
    </xf>
    <xf numFmtId="0" fontId="11" fillId="0" borderId="28" xfId="0" quotePrefix="1" applyFont="1" applyBorder="1" applyAlignment="1">
      <alignment horizontal="center"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174" fontId="11" fillId="0" borderId="0" xfId="0" applyNumberFormat="1" applyFont="1" applyAlignment="1">
      <alignment horizontal="left"/>
    </xf>
    <xf numFmtId="174" fontId="43" fillId="0" borderId="0" xfId="0" applyNumberFormat="1" applyFont="1" applyAlignment="1">
      <alignment horizontal="right"/>
    </xf>
    <xf numFmtId="0" fontId="17" fillId="0" borderId="19" xfId="0" applyFont="1" applyBorder="1"/>
    <xf numFmtId="0" fontId="11" fillId="0" borderId="28" xfId="0" applyFont="1" applyBorder="1" applyAlignment="1">
      <alignment horizontal="center" vertical="top"/>
    </xf>
    <xf numFmtId="0" fontId="11" fillId="0" borderId="19" xfId="0" applyFont="1" applyBorder="1" applyAlignment="1">
      <alignment vertical="top" wrapText="1"/>
    </xf>
    <xf numFmtId="0" fontId="14" fillId="0" borderId="0" xfId="0" applyFont="1" applyAlignment="1">
      <alignment horizontal="center" vertical="top"/>
    </xf>
    <xf numFmtId="0" fontId="42" fillId="0" borderId="0" xfId="0" quotePrefix="1" applyFont="1"/>
    <xf numFmtId="0" fontId="11" fillId="0" borderId="0" xfId="0" applyFont="1" applyAlignment="1">
      <alignment horizontal="left" vertical="top" wrapText="1"/>
    </xf>
    <xf numFmtId="0" fontId="8" fillId="0" borderId="0" xfId="1" applyNumberFormat="1" applyFont="1" applyFill="1" applyBorder="1" applyAlignment="1">
      <alignment horizontal="right"/>
    </xf>
    <xf numFmtId="44" fontId="11" fillId="0" borderId="0" xfId="2" applyFont="1" applyFill="1"/>
    <xf numFmtId="44" fontId="11" fillId="0" borderId="0" xfId="2" applyFont="1" applyBorder="1"/>
    <xf numFmtId="44" fontId="11" fillId="0" borderId="0" xfId="1" applyNumberFormat="1" applyFont="1" applyFill="1"/>
    <xf numFmtId="44" fontId="11" fillId="0" borderId="54" xfId="2" applyFont="1" applyFill="1" applyBorder="1"/>
    <xf numFmtId="0" fontId="18" fillId="0" borderId="8" xfId="0" applyFont="1" applyBorder="1" applyAlignment="1">
      <alignment horizontal="center" wrapText="1"/>
    </xf>
    <xf numFmtId="0" fontId="18" fillId="0" borderId="9" xfId="0" applyFont="1" applyBorder="1" applyAlignment="1">
      <alignment horizontal="left"/>
    </xf>
    <xf numFmtId="165" fontId="11" fillId="0" borderId="19" xfId="1" applyNumberFormat="1" applyFont="1" applyFill="1" applyBorder="1" applyAlignment="1">
      <alignment horizontal="right"/>
    </xf>
    <xf numFmtId="165" fontId="11" fillId="0" borderId="0" xfId="1" applyNumberFormat="1" applyFont="1" applyFill="1" applyBorder="1" applyAlignment="1">
      <alignment horizontal="right"/>
    </xf>
    <xf numFmtId="165" fontId="11" fillId="0" borderId="7" xfId="1" applyNumberFormat="1" applyFont="1" applyFill="1" applyBorder="1" applyAlignment="1">
      <alignment horizontal="right"/>
    </xf>
    <xf numFmtId="43" fontId="11" fillId="0" borderId="22" xfId="1" applyFont="1" applyFill="1" applyBorder="1" applyAlignment="1">
      <alignment horizontal="right"/>
    </xf>
    <xf numFmtId="168" fontId="10" fillId="0" borderId="50" xfId="2" applyNumberFormat="1" applyFont="1" applyBorder="1"/>
    <xf numFmtId="44" fontId="11" fillId="0" borderId="0" xfId="2" applyFont="1" applyFill="1" applyBorder="1"/>
    <xf numFmtId="166" fontId="11" fillId="0" borderId="39" xfId="2" applyNumberFormat="1" applyFont="1" applyFill="1" applyBorder="1"/>
    <xf numFmtId="40" fontId="11" fillId="0" borderId="79" xfId="0" applyNumberFormat="1" applyFont="1" applyBorder="1"/>
    <xf numFmtId="40" fontId="11" fillId="0" borderId="39" xfId="0" applyNumberFormat="1" applyFont="1" applyBorder="1"/>
    <xf numFmtId="165" fontId="10" fillId="0" borderId="29" xfId="1" applyNumberFormat="1" applyFont="1" applyFill="1" applyBorder="1"/>
    <xf numFmtId="165" fontId="11" fillId="0" borderId="28" xfId="1" applyNumberFormat="1" applyFont="1" applyFill="1" applyBorder="1" applyAlignment="1">
      <alignment horizontal="center" vertical="center"/>
    </xf>
    <xf numFmtId="166" fontId="10" fillId="0" borderId="62" xfId="2" applyNumberFormat="1" applyFont="1" applyFill="1" applyBorder="1"/>
    <xf numFmtId="165" fontId="11" fillId="0" borderId="29" xfId="1" applyNumberFormat="1" applyFont="1" applyBorder="1"/>
    <xf numFmtId="0" fontId="11" fillId="5" borderId="25" xfId="0" applyFont="1" applyFill="1" applyBorder="1" applyAlignment="1">
      <alignment horizontal="center" wrapText="1"/>
    </xf>
    <xf numFmtId="0" fontId="10" fillId="5" borderId="79" xfId="0" applyFont="1" applyFill="1" applyBorder="1" applyAlignment="1">
      <alignment horizontal="center" wrapText="1"/>
    </xf>
    <xf numFmtId="0" fontId="21" fillId="5" borderId="27" xfId="0" applyFont="1" applyFill="1" applyBorder="1" applyAlignment="1">
      <alignment horizontal="left" vertical="top"/>
    </xf>
    <xf numFmtId="174" fontId="10" fillId="5" borderId="79" xfId="0" applyNumberFormat="1" applyFont="1" applyFill="1" applyBorder="1" applyAlignment="1">
      <alignment horizontal="center"/>
    </xf>
    <xf numFmtId="171" fontId="10" fillId="5" borderId="79" xfId="0" applyNumberFormat="1" applyFont="1" applyFill="1" applyBorder="1" applyAlignment="1">
      <alignment horizontal="center"/>
    </xf>
    <xf numFmtId="0" fontId="10" fillId="5" borderId="26" xfId="0" applyFont="1" applyFill="1" applyBorder="1" applyAlignment="1">
      <alignment horizontal="center" wrapText="1"/>
    </xf>
    <xf numFmtId="174" fontId="10" fillId="5" borderId="29" xfId="0" applyNumberFormat="1" applyFont="1" applyFill="1" applyBorder="1" applyAlignment="1">
      <alignment horizontal="center"/>
    </xf>
    <xf numFmtId="17" fontId="11" fillId="0" borderId="3" xfId="0" applyNumberFormat="1" applyFont="1" applyBorder="1" applyAlignment="1">
      <alignment horizontal="center"/>
    </xf>
    <xf numFmtId="43" fontId="11" fillId="0" borderId="22" xfId="1" applyFont="1" applyBorder="1" applyAlignment="1">
      <alignment horizontal="right"/>
    </xf>
    <xf numFmtId="165" fontId="11" fillId="0" borderId="12" xfId="1" applyNumberFormat="1" applyFont="1" applyFill="1" applyBorder="1"/>
    <xf numFmtId="0" fontId="11" fillId="0" borderId="0" xfId="0" applyFont="1" applyBorder="1"/>
    <xf numFmtId="0" fontId="21" fillId="0" borderId="0" xfId="0" applyFont="1" applyBorder="1"/>
    <xf numFmtId="0" fontId="10" fillId="0" borderId="0" xfId="0" quotePrefix="1" applyFont="1"/>
    <xf numFmtId="0" fontId="10" fillId="0" borderId="0" xfId="0" quotePrefix="1" applyFont="1" applyAlignment="1">
      <alignment horizontal="right"/>
    </xf>
    <xf numFmtId="43" fontId="11" fillId="0" borderId="0" xfId="1" applyFont="1" applyAlignment="1">
      <alignment horizontal="right"/>
    </xf>
    <xf numFmtId="165" fontId="11" fillId="0" borderId="54" xfId="1" applyNumberFormat="1" applyFont="1" applyBorder="1" applyAlignment="1">
      <alignment horizontal="right"/>
    </xf>
    <xf numFmtId="165" fontId="11" fillId="0" borderId="17" xfId="1" applyNumberFormat="1" applyFont="1" applyBorder="1" applyAlignment="1">
      <alignment horizontal="right"/>
    </xf>
    <xf numFmtId="165" fontId="11" fillId="0" borderId="54" xfId="1" applyNumberFormat="1" applyFont="1" applyBorder="1"/>
    <xf numFmtId="165" fontId="11" fillId="0" borderId="0" xfId="1" applyNumberFormat="1" applyFont="1" applyAlignment="1">
      <alignment horizontal="right"/>
    </xf>
    <xf numFmtId="0" fontId="11" fillId="0" borderId="0" xfId="0" applyFont="1" applyBorder="1" applyAlignment="1">
      <alignment horizontal="left"/>
    </xf>
    <xf numFmtId="165" fontId="11" fillId="0" borderId="62" xfId="1" applyNumberFormat="1" applyFont="1" applyFill="1" applyBorder="1"/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wrapText="1"/>
    </xf>
    <xf numFmtId="0" fontId="10" fillId="0" borderId="0" xfId="0" applyFont="1" applyBorder="1"/>
    <xf numFmtId="0" fontId="17" fillId="0" borderId="0" xfId="0" applyFont="1" applyBorder="1"/>
    <xf numFmtId="0" fontId="10" fillId="5" borderId="25" xfId="0" applyFont="1" applyFill="1" applyBorder="1" applyAlignment="1">
      <alignment horizontal="center" wrapText="1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top"/>
    </xf>
    <xf numFmtId="174" fontId="10" fillId="5" borderId="12" xfId="0" applyNumberFormat="1" applyFont="1" applyFill="1" applyBorder="1" applyAlignment="1">
      <alignment horizontal="center"/>
    </xf>
    <xf numFmtId="165" fontId="11" fillId="0" borderId="0" xfId="1" applyNumberFormat="1" applyFont="1" applyFill="1" applyBorder="1" applyAlignment="1">
      <alignment vertical="center"/>
    </xf>
    <xf numFmtId="174" fontId="10" fillId="5" borderId="27" xfId="0" applyNumberFormat="1" applyFont="1" applyFill="1" applyBorder="1" applyAlignment="1">
      <alignment horizontal="center"/>
    </xf>
    <xf numFmtId="40" fontId="11" fillId="0" borderId="27" xfId="0" applyNumberFormat="1" applyFont="1" applyBorder="1"/>
    <xf numFmtId="166" fontId="10" fillId="0" borderId="0" xfId="2" applyNumberFormat="1" applyFont="1" applyFill="1" applyBorder="1"/>
    <xf numFmtId="166" fontId="10" fillId="0" borderId="7" xfId="2" applyNumberFormat="1" applyFont="1" applyBorder="1"/>
    <xf numFmtId="165" fontId="10" fillId="0" borderId="12" xfId="1" applyNumberFormat="1" applyFont="1" applyBorder="1"/>
    <xf numFmtId="40" fontId="11" fillId="0" borderId="43" xfId="0" applyNumberFormat="1" applyFont="1" applyBorder="1"/>
    <xf numFmtId="0" fontId="11" fillId="5" borderId="26" xfId="0" applyFont="1" applyFill="1" applyBorder="1" applyAlignment="1">
      <alignment horizontal="center"/>
    </xf>
    <xf numFmtId="165" fontId="11" fillId="0" borderId="12" xfId="1" applyNumberFormat="1" applyFont="1" applyBorder="1"/>
    <xf numFmtId="0" fontId="10" fillId="0" borderId="0" xfId="14" applyFont="1" applyAlignment="1">
      <alignment horizontal="center"/>
    </xf>
    <xf numFmtId="0" fontId="10" fillId="0" borderId="0" xfId="20" applyFont="1" applyAlignment="1">
      <alignment horizontal="center"/>
    </xf>
    <xf numFmtId="0" fontId="10" fillId="0" borderId="0" xfId="0" applyFont="1" applyAlignment="1">
      <alignment horizontal="center" vertical="justify"/>
    </xf>
    <xf numFmtId="3" fontId="10" fillId="0" borderId="0" xfId="0" applyNumberFormat="1" applyFont="1" applyAlignment="1">
      <alignment horizontal="center" vertical="justify"/>
    </xf>
    <xf numFmtId="0" fontId="10" fillId="0" borderId="0" xfId="0" applyFont="1" applyAlignment="1">
      <alignment horizontal="center" vertical="center"/>
    </xf>
    <xf numFmtId="0" fontId="36" fillId="3" borderId="21" xfId="0" applyFont="1" applyFill="1" applyBorder="1" applyAlignment="1">
      <alignment horizontal="center"/>
    </xf>
    <xf numFmtId="0" fontId="36" fillId="3" borderId="43" xfId="0" applyFont="1" applyFill="1" applyBorder="1" applyAlignment="1">
      <alignment horizontal="center"/>
    </xf>
    <xf numFmtId="0" fontId="36" fillId="3" borderId="24" xfId="0" applyFont="1" applyFill="1" applyBorder="1" applyAlignment="1">
      <alignment horizontal="center"/>
    </xf>
    <xf numFmtId="0" fontId="36" fillId="3" borderId="20" xfId="0" applyFont="1" applyFill="1" applyBorder="1" applyAlignment="1">
      <alignment horizontal="center"/>
    </xf>
    <xf numFmtId="0" fontId="36" fillId="3" borderId="0" xfId="0" applyFont="1" applyFill="1" applyAlignment="1">
      <alignment horizontal="center"/>
    </xf>
    <xf numFmtId="0" fontId="36" fillId="3" borderId="22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Alignment="1">
      <alignment horizontal="left" vertical="top" wrapText="1"/>
    </xf>
  </cellXfs>
  <cellStyles count="22">
    <cellStyle name="Comma" xfId="1" builtinId="3"/>
    <cellStyle name="Comma 14" xfId="15" xr:uid="{00000000-0005-0000-0000-000001000000}"/>
    <cellStyle name="Comma 14 2" xfId="21" xr:uid="{00FB1CCE-D6C1-49F0-A30B-27ED7D229814}"/>
    <cellStyle name="Comma 2" xfId="12" xr:uid="{00000000-0005-0000-0000-000002000000}"/>
    <cellStyle name="Comma 3" xfId="19" xr:uid="{C47336E8-D94B-49C2-B7EE-22235241E155}"/>
    <cellStyle name="Currency" xfId="2" builtinId="4"/>
    <cellStyle name="Currency 2" xfId="11" xr:uid="{00000000-0005-0000-0000-000004000000}"/>
    <cellStyle name="Normal" xfId="0" builtinId="0"/>
    <cellStyle name="Normal 10" xfId="9" xr:uid="{00000000-0005-0000-0000-000006000000}"/>
    <cellStyle name="Normal 10 2 2 2" xfId="18" xr:uid="{00000000-0005-0000-0000-000007000000}"/>
    <cellStyle name="Normal 12" xfId="8" xr:uid="{00000000-0005-0000-0000-000008000000}"/>
    <cellStyle name="Normal 19" xfId="7" xr:uid="{00000000-0005-0000-0000-000009000000}"/>
    <cellStyle name="Normal 2" xfId="10" xr:uid="{00000000-0005-0000-0000-00000A000000}"/>
    <cellStyle name="Normal 2 3 3" xfId="6" xr:uid="{00000000-0005-0000-0000-00000B000000}"/>
    <cellStyle name="Normal 20" xfId="14" xr:uid="{00000000-0005-0000-0000-00000C000000}"/>
    <cellStyle name="Normal 20 2" xfId="20" xr:uid="{80C12A75-8FE9-45AF-9CAB-1288F15EF8E5}"/>
    <cellStyle name="Normal 21" xfId="16" xr:uid="{00000000-0005-0000-0000-00000D000000}"/>
    <cellStyle name="Normal 22" xfId="17" xr:uid="{00000000-0005-0000-0000-00000E000000}"/>
    <cellStyle name="Normal_Draft TRBAA 2009 Forecast" xfId="3" xr:uid="{00000000-0005-0000-0000-00000F000000}"/>
    <cellStyle name="Normal_R1, 2009 ETC Cost Differential Forecast" xfId="4" xr:uid="{00000000-0005-0000-0000-000010000000}"/>
    <cellStyle name="Percent" xfId="5" builtinId="5"/>
    <cellStyle name="Percent 2" xfId="13" xr:uid="{00000000-0005-0000-0000-000012000000}"/>
  </cellStyles>
  <dxfs count="0"/>
  <tableStyles count="1" defaultTableStyle="TableStyleMedium9" defaultPivotStyle="PivotStyleLight16">
    <tableStyle name="Invisible" pivot="0" table="0" count="0" xr9:uid="{388BAACD-86A7-4450-93BC-E0906B5B0CEE}"/>
  </tableStyles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LOTSHARE/Julia/excel/TRR/rate%20design/HVTRR&amp;LVTR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Sheet 2"/>
      <sheetName val="Statement_BK"/>
      <sheetName val="Statement_BJ"/>
      <sheetName val="Ancillary"/>
      <sheetName val="P1P2_Comp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60"/>
  <sheetViews>
    <sheetView tabSelected="1" zoomScale="80" zoomScaleNormal="80" workbookViewId="0"/>
  </sheetViews>
  <sheetFormatPr defaultColWidth="8.54296875" defaultRowHeight="13" x14ac:dyDescent="0.3"/>
  <cols>
    <col min="1" max="1" width="5.54296875" style="1" customWidth="1"/>
    <col min="2" max="4" width="20.54296875" style="1" customWidth="1"/>
    <col min="5" max="5" width="22.1796875" style="1" bestFit="1" customWidth="1"/>
    <col min="6" max="6" width="40.54296875" style="1" customWidth="1"/>
    <col min="7" max="7" width="5.54296875" style="1" customWidth="1"/>
    <col min="8" max="8" width="8.54296875" style="1" customWidth="1"/>
    <col min="9" max="12" width="16.54296875" style="1" customWidth="1"/>
    <col min="13" max="16384" width="8.54296875" style="1"/>
  </cols>
  <sheetData>
    <row r="2" spans="1:12" s="3" customFormat="1" ht="18" customHeight="1" x14ac:dyDescent="0.3">
      <c r="A2" s="5" t="s">
        <v>0</v>
      </c>
      <c r="B2" s="5"/>
      <c r="C2" s="5"/>
      <c r="D2" s="5"/>
      <c r="E2" s="5"/>
      <c r="F2" s="5"/>
      <c r="G2" s="41"/>
      <c r="H2" s="1"/>
      <c r="I2" s="1"/>
      <c r="J2" s="1"/>
    </row>
    <row r="3" spans="1:12" s="3" customFormat="1" ht="18" customHeight="1" x14ac:dyDescent="0.3">
      <c r="A3" s="5" t="s">
        <v>1</v>
      </c>
      <c r="B3" s="5"/>
      <c r="C3" s="5"/>
      <c r="D3" s="5"/>
      <c r="E3" s="5"/>
      <c r="F3" s="5"/>
      <c r="G3" s="41"/>
      <c r="H3" s="1"/>
      <c r="I3" s="1"/>
      <c r="J3" s="1"/>
    </row>
    <row r="4" spans="1:12" s="3" customFormat="1" ht="18" customHeight="1" x14ac:dyDescent="0.3">
      <c r="A4" s="5" t="s">
        <v>485</v>
      </c>
      <c r="B4" s="5"/>
      <c r="C4" s="5"/>
      <c r="D4" s="5"/>
      <c r="E4" s="5"/>
      <c r="F4" s="5"/>
      <c r="G4" s="41"/>
      <c r="H4" s="1"/>
      <c r="I4" s="1"/>
      <c r="J4" s="1"/>
    </row>
    <row r="5" spans="1:12" ht="15.5" x14ac:dyDescent="0.3">
      <c r="A5" s="5" t="s">
        <v>2</v>
      </c>
      <c r="B5" s="5"/>
      <c r="C5" s="5"/>
      <c r="D5" s="41"/>
      <c r="E5" s="41"/>
      <c r="F5" s="41"/>
      <c r="G5" s="41"/>
    </row>
    <row r="6" spans="1:12" ht="16" thickBot="1" x14ac:dyDescent="0.35">
      <c r="A6" s="5"/>
      <c r="B6" s="5"/>
      <c r="C6" s="5"/>
      <c r="D6" s="41"/>
      <c r="E6" s="41"/>
      <c r="F6" s="41"/>
      <c r="G6" s="41"/>
    </row>
    <row r="7" spans="1:12" ht="15" x14ac:dyDescent="0.3">
      <c r="A7" s="287"/>
      <c r="B7" s="546"/>
      <c r="C7" s="165" t="s">
        <v>3</v>
      </c>
      <c r="D7" s="165" t="s">
        <v>4</v>
      </c>
      <c r="E7" s="165" t="s">
        <v>5</v>
      </c>
      <c r="F7" s="547"/>
      <c r="G7" s="548"/>
    </row>
    <row r="8" spans="1:12" ht="15" x14ac:dyDescent="0.3">
      <c r="A8" s="549"/>
      <c r="B8" s="94"/>
      <c r="C8" s="75" t="s">
        <v>6</v>
      </c>
      <c r="D8" s="75" t="s">
        <v>7</v>
      </c>
      <c r="E8" s="75" t="s">
        <v>6</v>
      </c>
      <c r="F8" s="94"/>
      <c r="G8" s="550"/>
    </row>
    <row r="9" spans="1:12" ht="15" x14ac:dyDescent="0.3">
      <c r="A9" s="551" t="s">
        <v>8</v>
      </c>
      <c r="B9" s="75"/>
      <c r="C9" s="158" t="s">
        <v>9</v>
      </c>
      <c r="D9" s="75" t="s">
        <v>10</v>
      </c>
      <c r="E9" s="158" t="s">
        <v>9</v>
      </c>
      <c r="F9" s="75"/>
      <c r="G9" s="552" t="s">
        <v>8</v>
      </c>
    </row>
    <row r="10" spans="1:12" ht="18.5" thickBot="1" x14ac:dyDescent="0.35">
      <c r="A10" s="569" t="s">
        <v>11</v>
      </c>
      <c r="B10" s="153" t="s">
        <v>12</v>
      </c>
      <c r="C10" s="571" t="s">
        <v>13</v>
      </c>
      <c r="D10" s="153" t="s">
        <v>14</v>
      </c>
      <c r="E10" s="571" t="s">
        <v>15</v>
      </c>
      <c r="F10" s="153" t="s">
        <v>16</v>
      </c>
      <c r="G10" s="570" t="s">
        <v>11</v>
      </c>
      <c r="I10" s="90"/>
      <c r="J10" s="90"/>
      <c r="K10" s="90"/>
    </row>
    <row r="11" spans="1:12" ht="15.5" x14ac:dyDescent="0.35">
      <c r="A11" s="263"/>
      <c r="B11" s="770"/>
      <c r="C11" s="188"/>
      <c r="D11" s="10"/>
      <c r="E11" s="188"/>
      <c r="F11" s="10"/>
      <c r="G11" s="264"/>
      <c r="I11" s="90"/>
      <c r="J11" s="90"/>
      <c r="K11" s="90"/>
    </row>
    <row r="12" spans="1:12" ht="15.5" x14ac:dyDescent="0.35">
      <c r="A12" s="263">
        <v>1</v>
      </c>
      <c r="B12" s="478">
        <v>44470</v>
      </c>
      <c r="C12" s="44">
        <f>'WP 1.1 Recorded Sales'!C$39</f>
        <v>1583043702</v>
      </c>
      <c r="D12" s="44">
        <f>'WP 1.1 Recorded Sales'!C$38</f>
        <v>23180</v>
      </c>
      <c r="E12" s="45">
        <f t="shared" ref="E12:E23" si="0">C12-D12</f>
        <v>1583020522</v>
      </c>
      <c r="F12" s="241" t="s">
        <v>17</v>
      </c>
      <c r="G12" s="264">
        <v>1</v>
      </c>
      <c r="I12" s="140"/>
      <c r="J12" s="140"/>
      <c r="K12" s="140"/>
      <c r="L12" s="179"/>
    </row>
    <row r="13" spans="1:12" ht="15.5" x14ac:dyDescent="0.35">
      <c r="A13" s="263">
        <f t="shared" ref="A13:A26" si="1">A12+1</f>
        <v>2</v>
      </c>
      <c r="B13" s="478">
        <v>44501</v>
      </c>
      <c r="C13" s="44">
        <f>'WP 1.1 Recorded Sales'!D$39</f>
        <v>1383424424</v>
      </c>
      <c r="D13" s="44">
        <f>'WP 1.1 Recorded Sales'!D$38</f>
        <v>8596</v>
      </c>
      <c r="E13" s="45">
        <f t="shared" si="0"/>
        <v>1383415828</v>
      </c>
      <c r="F13" s="241" t="str">
        <f>$F$12</f>
        <v>Workpaper No. 1; Page 1.1; Lines 30; 29</v>
      </c>
      <c r="G13" s="264">
        <f t="shared" ref="G13:G26" si="2">G12+1</f>
        <v>2</v>
      </c>
      <c r="I13" s="140"/>
      <c r="J13" s="140"/>
      <c r="K13" s="140"/>
      <c r="L13" s="179"/>
    </row>
    <row r="14" spans="1:12" ht="15.5" x14ac:dyDescent="0.35">
      <c r="A14" s="263">
        <f t="shared" si="1"/>
        <v>3</v>
      </c>
      <c r="B14" s="478">
        <v>44531</v>
      </c>
      <c r="C14" s="44">
        <f>'WP 1.1 Recorded Sales'!E$39</f>
        <v>1524375833</v>
      </c>
      <c r="D14" s="44">
        <f>'WP 1.1 Recorded Sales'!E$38</f>
        <v>8464</v>
      </c>
      <c r="E14" s="45">
        <f t="shared" si="0"/>
        <v>1524367369</v>
      </c>
      <c r="F14" s="241" t="str">
        <f t="shared" ref="F14:F23" si="3">$F$12</f>
        <v>Workpaper No. 1; Page 1.1; Lines 30; 29</v>
      </c>
      <c r="G14" s="264">
        <f t="shared" si="2"/>
        <v>3</v>
      </c>
      <c r="I14" s="140"/>
      <c r="J14" s="140"/>
      <c r="K14" s="140"/>
      <c r="L14" s="179"/>
    </row>
    <row r="15" spans="1:12" ht="15.5" x14ac:dyDescent="0.35">
      <c r="A15" s="263">
        <f t="shared" si="1"/>
        <v>4</v>
      </c>
      <c r="B15" s="478">
        <v>44562</v>
      </c>
      <c r="C15" s="44">
        <f>'WP 1.1 Recorded Sales'!F$39</f>
        <v>1439117391</v>
      </c>
      <c r="D15" s="44">
        <f>'WP 1.1 Recorded Sales'!F$38</f>
        <v>0</v>
      </c>
      <c r="E15" s="45">
        <f t="shared" si="0"/>
        <v>1439117391</v>
      </c>
      <c r="F15" s="241" t="str">
        <f t="shared" si="3"/>
        <v>Workpaper No. 1; Page 1.1; Lines 30; 29</v>
      </c>
      <c r="G15" s="264">
        <f t="shared" si="2"/>
        <v>4</v>
      </c>
      <c r="I15" s="140"/>
      <c r="J15" s="140"/>
      <c r="K15" s="140"/>
      <c r="L15" s="179"/>
    </row>
    <row r="16" spans="1:12" ht="15.5" x14ac:dyDescent="0.35">
      <c r="A16" s="263">
        <f t="shared" si="1"/>
        <v>5</v>
      </c>
      <c r="B16" s="478">
        <v>44593</v>
      </c>
      <c r="C16" s="44">
        <f>'WP 1.1 Recorded Sales'!G$39</f>
        <v>1168525650</v>
      </c>
      <c r="D16" s="44">
        <f>'WP 1.1 Recorded Sales'!G$38</f>
        <v>6401</v>
      </c>
      <c r="E16" s="45">
        <f t="shared" si="0"/>
        <v>1168519249</v>
      </c>
      <c r="F16" s="241" t="str">
        <f t="shared" si="3"/>
        <v>Workpaper No. 1; Page 1.1; Lines 30; 29</v>
      </c>
      <c r="G16" s="264">
        <f t="shared" si="2"/>
        <v>5</v>
      </c>
      <c r="I16" s="140"/>
      <c r="J16" s="140"/>
      <c r="K16" s="140"/>
      <c r="L16" s="179"/>
    </row>
    <row r="17" spans="1:12" ht="15.5" x14ac:dyDescent="0.35">
      <c r="A17" s="263">
        <f t="shared" si="1"/>
        <v>6</v>
      </c>
      <c r="B17" s="478">
        <v>44621</v>
      </c>
      <c r="C17" s="44">
        <f>'WP 1.1 Recorded Sales'!H$39</f>
        <v>1556454967</v>
      </c>
      <c r="D17" s="44">
        <f>'WP 1.1 Recorded Sales'!H$38</f>
        <v>12553</v>
      </c>
      <c r="E17" s="45">
        <f t="shared" si="0"/>
        <v>1556442414</v>
      </c>
      <c r="F17" s="241" t="str">
        <f t="shared" si="3"/>
        <v>Workpaper No. 1; Page 1.1; Lines 30; 29</v>
      </c>
      <c r="G17" s="264">
        <f t="shared" si="2"/>
        <v>6</v>
      </c>
      <c r="I17" s="140"/>
      <c r="J17" s="140"/>
      <c r="K17" s="140"/>
      <c r="L17" s="179"/>
    </row>
    <row r="18" spans="1:12" ht="15.5" x14ac:dyDescent="0.35">
      <c r="A18" s="263">
        <f t="shared" si="1"/>
        <v>7</v>
      </c>
      <c r="B18" s="478">
        <v>44652</v>
      </c>
      <c r="C18" s="44">
        <f>'WP 1.1 Recorded Sales'!I$39</f>
        <v>1193617091</v>
      </c>
      <c r="D18" s="44">
        <f>'WP 1.1 Recorded Sales'!I$38</f>
        <v>6943</v>
      </c>
      <c r="E18" s="45">
        <f t="shared" si="0"/>
        <v>1193610148</v>
      </c>
      <c r="F18" s="241" t="str">
        <f t="shared" si="3"/>
        <v>Workpaper No. 1; Page 1.1; Lines 30; 29</v>
      </c>
      <c r="G18" s="264">
        <f t="shared" si="2"/>
        <v>7</v>
      </c>
      <c r="I18" s="140"/>
      <c r="J18" s="140"/>
      <c r="K18" s="140"/>
      <c r="L18" s="179"/>
    </row>
    <row r="19" spans="1:12" ht="15.5" x14ac:dyDescent="0.35">
      <c r="A19" s="263">
        <f t="shared" si="1"/>
        <v>8</v>
      </c>
      <c r="B19" s="478">
        <v>44682</v>
      </c>
      <c r="C19" s="44">
        <f>'WP 1.1 Recorded Sales'!J$39</f>
        <v>1172386668</v>
      </c>
      <c r="D19" s="44">
        <f>'WP 1.1 Recorded Sales'!J$38</f>
        <v>5359</v>
      </c>
      <c r="E19" s="45">
        <f t="shared" si="0"/>
        <v>1172381309</v>
      </c>
      <c r="F19" s="241" t="str">
        <f t="shared" si="3"/>
        <v>Workpaper No. 1; Page 1.1; Lines 30; 29</v>
      </c>
      <c r="G19" s="264">
        <f t="shared" si="2"/>
        <v>8</v>
      </c>
      <c r="I19" s="140"/>
      <c r="J19" s="140"/>
      <c r="K19" s="140"/>
      <c r="L19" s="179"/>
    </row>
    <row r="20" spans="1:12" ht="15.5" x14ac:dyDescent="0.35">
      <c r="A20" s="263">
        <f t="shared" si="1"/>
        <v>9</v>
      </c>
      <c r="B20" s="478">
        <v>44713</v>
      </c>
      <c r="C20" s="44">
        <f>'WP 1.1 Recorded Sales'!K$39</f>
        <v>1462878841</v>
      </c>
      <c r="D20" s="44">
        <f>'WP 1.1 Recorded Sales'!K$38</f>
        <v>8314</v>
      </c>
      <c r="E20" s="45">
        <f t="shared" si="0"/>
        <v>1462870527</v>
      </c>
      <c r="F20" s="241" t="str">
        <f t="shared" si="3"/>
        <v>Workpaper No. 1; Page 1.1; Lines 30; 29</v>
      </c>
      <c r="G20" s="264">
        <f t="shared" si="2"/>
        <v>9</v>
      </c>
      <c r="I20" s="140"/>
      <c r="J20" s="140"/>
      <c r="K20" s="140"/>
      <c r="L20" s="179"/>
    </row>
    <row r="21" spans="1:12" ht="15.5" x14ac:dyDescent="0.35">
      <c r="A21" s="263">
        <f t="shared" si="1"/>
        <v>10</v>
      </c>
      <c r="B21" s="478">
        <v>44743</v>
      </c>
      <c r="C21" s="44">
        <f>'WP 1.1 Recorded Sales'!L$39</f>
        <v>1502716064</v>
      </c>
      <c r="D21" s="44">
        <f>'WP 1.1 Recorded Sales'!L$38</f>
        <v>10739</v>
      </c>
      <c r="E21" s="45">
        <f t="shared" si="0"/>
        <v>1502705325</v>
      </c>
      <c r="F21" s="241" t="str">
        <f t="shared" si="3"/>
        <v>Workpaper No. 1; Page 1.1; Lines 30; 29</v>
      </c>
      <c r="G21" s="264">
        <f t="shared" si="2"/>
        <v>10</v>
      </c>
      <c r="I21" s="140"/>
      <c r="J21" s="140"/>
      <c r="K21" s="140"/>
      <c r="L21" s="179"/>
    </row>
    <row r="22" spans="1:12" ht="15.5" x14ac:dyDescent="0.35">
      <c r="A22" s="263">
        <f t="shared" si="1"/>
        <v>11</v>
      </c>
      <c r="B22" s="478">
        <v>44774</v>
      </c>
      <c r="C22" s="44">
        <f>'WP 1.1 Recorded Sales'!M$39</f>
        <v>1826297633</v>
      </c>
      <c r="D22" s="44">
        <f>'WP 1.1 Recorded Sales'!M$38</f>
        <v>11700</v>
      </c>
      <c r="E22" s="45">
        <f t="shared" si="0"/>
        <v>1826285933</v>
      </c>
      <c r="F22" s="241" t="str">
        <f t="shared" si="3"/>
        <v>Workpaper No. 1; Page 1.1; Lines 30; 29</v>
      </c>
      <c r="G22" s="264">
        <f t="shared" si="2"/>
        <v>11</v>
      </c>
      <c r="I22" s="140"/>
      <c r="J22" s="140"/>
      <c r="K22" s="140"/>
      <c r="L22" s="179"/>
    </row>
    <row r="23" spans="1:12" ht="15.5" x14ac:dyDescent="0.35">
      <c r="A23" s="263">
        <f t="shared" si="1"/>
        <v>12</v>
      </c>
      <c r="B23" s="478">
        <v>44805</v>
      </c>
      <c r="C23" s="44">
        <f>'WP 1.1 Recorded Sales'!N$39</f>
        <v>1898289490.0000002</v>
      </c>
      <c r="D23" s="44">
        <f>'WP 1.1 Recorded Sales'!N$38</f>
        <v>10777</v>
      </c>
      <c r="E23" s="45">
        <f t="shared" si="0"/>
        <v>1898278713.0000002</v>
      </c>
      <c r="F23" s="241" t="str">
        <f t="shared" si="3"/>
        <v>Workpaper No. 1; Page 1.1; Lines 30; 29</v>
      </c>
      <c r="G23" s="264">
        <f t="shared" si="2"/>
        <v>12</v>
      </c>
      <c r="I23" s="140"/>
      <c r="J23" s="140"/>
      <c r="K23" s="140"/>
      <c r="L23" s="179"/>
    </row>
    <row r="24" spans="1:12" ht="15.5" x14ac:dyDescent="0.35">
      <c r="A24" s="263">
        <f t="shared" si="1"/>
        <v>13</v>
      </c>
      <c r="B24" s="937"/>
      <c r="C24" s="38"/>
      <c r="D24" s="38"/>
      <c r="E24" s="46"/>
      <c r="F24" s="49"/>
      <c r="G24" s="264">
        <f t="shared" si="2"/>
        <v>13</v>
      </c>
      <c r="I24" s="140"/>
      <c r="J24" s="140"/>
      <c r="K24" s="140"/>
      <c r="L24" s="140"/>
    </row>
    <row r="25" spans="1:12" ht="15.5" x14ac:dyDescent="0.35">
      <c r="A25" s="263">
        <f t="shared" si="1"/>
        <v>14</v>
      </c>
      <c r="B25" s="22"/>
      <c r="C25" s="45"/>
      <c r="D25" s="45"/>
      <c r="E25" s="45"/>
      <c r="F25" s="49"/>
      <c r="G25" s="264">
        <f t="shared" si="2"/>
        <v>14</v>
      </c>
      <c r="I25" s="140"/>
      <c r="J25" s="140"/>
      <c r="K25" s="140"/>
      <c r="L25" s="140"/>
    </row>
    <row r="26" spans="1:12" ht="16" thickBot="1" x14ac:dyDescent="0.4">
      <c r="A26" s="263">
        <f t="shared" si="1"/>
        <v>15</v>
      </c>
      <c r="B26" s="43" t="s">
        <v>18</v>
      </c>
      <c r="C26" s="47">
        <f>SUM(C12:C23)</f>
        <v>17711127754</v>
      </c>
      <c r="D26" s="47">
        <f>SUM(D12:D23)</f>
        <v>113026</v>
      </c>
      <c r="E26" s="47">
        <f>SUM(E12:E23)</f>
        <v>17711014728</v>
      </c>
      <c r="F26" s="49" t="s">
        <v>19</v>
      </c>
      <c r="G26" s="264">
        <f t="shared" si="2"/>
        <v>15</v>
      </c>
      <c r="I26" s="140"/>
      <c r="J26" s="140"/>
      <c r="K26" s="140"/>
      <c r="L26" s="140"/>
    </row>
    <row r="27" spans="1:12" ht="16.5" thickTop="1" thickBot="1" x14ac:dyDescent="0.4">
      <c r="A27" s="301"/>
      <c r="B27" s="80"/>
      <c r="C27" s="553"/>
      <c r="D27" s="554"/>
      <c r="E27" s="153"/>
      <c r="F27" s="57"/>
      <c r="G27" s="302"/>
      <c r="I27" s="140"/>
      <c r="J27" s="140"/>
      <c r="K27" s="140"/>
      <c r="L27" s="140"/>
    </row>
    <row r="28" spans="1:12" ht="15.5" x14ac:dyDescent="0.35">
      <c r="A28" s="22"/>
      <c r="B28" s="22"/>
      <c r="C28" s="22"/>
      <c r="D28" s="22"/>
      <c r="E28" s="22"/>
      <c r="F28" s="22"/>
      <c r="G28" s="22"/>
    </row>
    <row r="29" spans="1:12" ht="18.5" x14ac:dyDescent="0.35">
      <c r="A29" s="414">
        <v>1</v>
      </c>
      <c r="B29" s="22" t="s">
        <v>20</v>
      </c>
      <c r="C29" s="22"/>
      <c r="D29" s="22"/>
      <c r="E29" s="48"/>
      <c r="F29" s="48"/>
      <c r="G29" s="22"/>
    </row>
    <row r="30" spans="1:12" ht="15.5" x14ac:dyDescent="0.35">
      <c r="A30" s="22"/>
      <c r="B30" s="22"/>
      <c r="C30" s="22"/>
      <c r="D30" s="22"/>
      <c r="E30" s="48"/>
      <c r="F30" s="48"/>
      <c r="G30" s="22"/>
    </row>
    <row r="31" spans="1:12" ht="15.5" x14ac:dyDescent="0.35">
      <c r="A31" s="22"/>
      <c r="B31" s="22"/>
      <c r="C31" s="22"/>
      <c r="D31" s="22"/>
      <c r="E31" s="48"/>
      <c r="F31" s="48"/>
      <c r="G31" s="22"/>
    </row>
    <row r="32" spans="1:12" ht="15.5" x14ac:dyDescent="0.35">
      <c r="A32" s="22"/>
      <c r="B32" s="22"/>
      <c r="C32" s="22"/>
      <c r="D32" s="22"/>
      <c r="E32" s="48"/>
      <c r="F32" s="48"/>
      <c r="G32" s="22"/>
    </row>
    <row r="33" spans="1:7" ht="15.5" x14ac:dyDescent="0.35">
      <c r="A33" s="22"/>
      <c r="B33" s="22"/>
      <c r="C33" s="22"/>
      <c r="D33" s="22"/>
      <c r="E33" s="22"/>
      <c r="F33" s="22"/>
      <c r="G33" s="22"/>
    </row>
    <row r="34" spans="1:7" ht="15.5" x14ac:dyDescent="0.35">
      <c r="A34" s="22"/>
      <c r="B34" s="22"/>
      <c r="C34" s="22"/>
      <c r="D34" s="22"/>
      <c r="E34" s="22"/>
      <c r="F34" s="22"/>
      <c r="G34" s="22"/>
    </row>
    <row r="35" spans="1:7" ht="15.5" x14ac:dyDescent="0.35">
      <c r="A35" s="22"/>
      <c r="B35" s="22"/>
      <c r="C35" s="22"/>
      <c r="D35" s="22"/>
      <c r="E35" s="22"/>
      <c r="F35" s="22"/>
      <c r="G35" s="22"/>
    </row>
    <row r="36" spans="1:7" ht="15.5" x14ac:dyDescent="0.35">
      <c r="A36" s="22"/>
      <c r="B36" s="22"/>
      <c r="C36" s="22"/>
      <c r="D36" s="22"/>
      <c r="E36" s="22"/>
      <c r="F36" s="22"/>
      <c r="G36" s="22"/>
    </row>
    <row r="37" spans="1:7" ht="15.5" x14ac:dyDescent="0.35">
      <c r="A37" s="22"/>
      <c r="B37" s="22"/>
      <c r="C37" s="22"/>
      <c r="D37" s="22"/>
      <c r="E37" s="22"/>
      <c r="F37" s="22"/>
      <c r="G37" s="22"/>
    </row>
    <row r="38" spans="1:7" ht="15.5" x14ac:dyDescent="0.35">
      <c r="A38" s="22"/>
      <c r="B38" s="22"/>
      <c r="C38" s="22"/>
      <c r="D38" s="22"/>
      <c r="E38" s="22"/>
      <c r="F38" s="22"/>
      <c r="G38" s="22"/>
    </row>
    <row r="39" spans="1:7" ht="15.5" x14ac:dyDescent="0.35">
      <c r="A39" s="22"/>
      <c r="B39" s="22"/>
      <c r="C39" s="22"/>
      <c r="D39" s="22"/>
      <c r="E39" s="22"/>
      <c r="F39" s="22"/>
      <c r="G39" s="22"/>
    </row>
    <row r="40" spans="1:7" ht="15.5" x14ac:dyDescent="0.35">
      <c r="A40" s="22"/>
      <c r="B40" s="22"/>
      <c r="C40" s="22"/>
      <c r="D40" s="22"/>
      <c r="E40" s="22"/>
      <c r="F40" s="22"/>
      <c r="G40" s="22"/>
    </row>
    <row r="41" spans="1:7" ht="15.5" x14ac:dyDescent="0.35">
      <c r="A41" s="22"/>
      <c r="B41" s="22"/>
      <c r="C41" s="22"/>
      <c r="D41" s="22"/>
      <c r="E41" s="22"/>
      <c r="F41" s="22"/>
      <c r="G41" s="22"/>
    </row>
    <row r="42" spans="1:7" ht="15.5" x14ac:dyDescent="0.35">
      <c r="A42" s="22"/>
      <c r="B42" s="22"/>
      <c r="C42" s="22"/>
      <c r="D42" s="22"/>
      <c r="E42" s="22"/>
      <c r="F42" s="22"/>
      <c r="G42" s="22"/>
    </row>
    <row r="43" spans="1:7" ht="15.5" x14ac:dyDescent="0.35">
      <c r="A43" s="22"/>
      <c r="B43" s="22"/>
      <c r="C43" s="22"/>
      <c r="D43" s="22"/>
      <c r="E43" s="22"/>
      <c r="F43" s="22"/>
      <c r="G43" s="22"/>
    </row>
    <row r="44" spans="1:7" ht="15.5" x14ac:dyDescent="0.35">
      <c r="A44" s="22"/>
      <c r="B44" s="22"/>
      <c r="C44" s="22"/>
      <c r="D44" s="22"/>
      <c r="E44" s="22"/>
      <c r="F44" s="22"/>
      <c r="G44" s="22"/>
    </row>
    <row r="45" spans="1:7" ht="15.5" x14ac:dyDescent="0.35">
      <c r="A45" s="22"/>
      <c r="B45" s="22"/>
      <c r="C45" s="22"/>
      <c r="D45" s="22"/>
      <c r="E45" s="22"/>
      <c r="F45" s="22"/>
      <c r="G45" s="22"/>
    </row>
    <row r="46" spans="1:7" ht="15.5" x14ac:dyDescent="0.35">
      <c r="A46" s="22"/>
      <c r="B46" s="22"/>
      <c r="C46" s="22"/>
      <c r="D46" s="22"/>
      <c r="E46" s="22"/>
      <c r="F46" s="22"/>
      <c r="G46" s="22"/>
    </row>
    <row r="47" spans="1:7" ht="15.5" x14ac:dyDescent="0.35">
      <c r="A47" s="22"/>
      <c r="B47" s="22"/>
      <c r="C47" s="22"/>
      <c r="D47" s="22"/>
      <c r="E47" s="22"/>
      <c r="F47" s="22"/>
      <c r="G47" s="22"/>
    </row>
    <row r="48" spans="1:7" ht="15.5" x14ac:dyDescent="0.35">
      <c r="A48" s="22"/>
      <c r="B48" s="22"/>
      <c r="C48" s="22"/>
      <c r="D48" s="22"/>
      <c r="E48" s="22"/>
      <c r="F48" s="22"/>
      <c r="G48" s="22"/>
    </row>
    <row r="49" spans="1:7" ht="15.5" x14ac:dyDescent="0.35">
      <c r="A49" s="22"/>
      <c r="B49" s="22"/>
      <c r="C49" s="22"/>
      <c r="D49" s="22"/>
      <c r="E49" s="22"/>
      <c r="F49" s="22"/>
      <c r="G49" s="22"/>
    </row>
    <row r="50" spans="1:7" ht="15.5" x14ac:dyDescent="0.35">
      <c r="A50" s="22"/>
      <c r="B50" s="22"/>
      <c r="C50" s="22"/>
      <c r="D50" s="22"/>
      <c r="E50" s="22"/>
      <c r="F50" s="22"/>
      <c r="G50" s="22"/>
    </row>
    <row r="51" spans="1:7" ht="15.5" x14ac:dyDescent="0.35">
      <c r="A51" s="22"/>
      <c r="B51" s="22"/>
      <c r="C51" s="22"/>
      <c r="D51" s="22"/>
      <c r="E51" s="22"/>
      <c r="F51" s="22"/>
      <c r="G51" s="22"/>
    </row>
    <row r="52" spans="1:7" ht="15.5" x14ac:dyDescent="0.35">
      <c r="A52" s="22"/>
      <c r="B52" s="22"/>
      <c r="C52" s="22"/>
      <c r="D52" s="22"/>
      <c r="E52" s="22"/>
      <c r="F52" s="22"/>
      <c r="G52" s="22"/>
    </row>
    <row r="53" spans="1:7" ht="15.5" x14ac:dyDescent="0.35">
      <c r="A53" s="22"/>
      <c r="B53" s="22"/>
      <c r="C53" s="22"/>
      <c r="D53" s="22"/>
      <c r="E53" s="22"/>
      <c r="F53" s="22"/>
      <c r="G53" s="22"/>
    </row>
    <row r="54" spans="1:7" ht="15.5" x14ac:dyDescent="0.35">
      <c r="A54" s="22"/>
      <c r="B54" s="22"/>
      <c r="C54" s="22"/>
      <c r="D54" s="22"/>
      <c r="E54" s="22"/>
      <c r="F54" s="22"/>
      <c r="G54" s="22"/>
    </row>
    <row r="55" spans="1:7" ht="15.5" x14ac:dyDescent="0.35">
      <c r="A55" s="22"/>
      <c r="B55" s="22"/>
      <c r="C55" s="22"/>
      <c r="D55" s="22"/>
      <c r="E55" s="22"/>
      <c r="F55" s="22"/>
      <c r="G55" s="22"/>
    </row>
    <row r="56" spans="1:7" ht="15.5" x14ac:dyDescent="0.35">
      <c r="A56" s="22"/>
      <c r="B56" s="22"/>
      <c r="C56" s="22"/>
      <c r="D56" s="22"/>
      <c r="E56" s="22"/>
      <c r="F56" s="22"/>
      <c r="G56" s="22"/>
    </row>
    <row r="57" spans="1:7" ht="15.5" x14ac:dyDescent="0.35">
      <c r="A57" s="22"/>
      <c r="B57" s="22"/>
      <c r="C57" s="22"/>
      <c r="D57" s="22"/>
      <c r="E57" s="22"/>
      <c r="F57" s="22"/>
      <c r="G57" s="22"/>
    </row>
    <row r="58" spans="1:7" ht="15.5" x14ac:dyDescent="0.35">
      <c r="A58" s="22"/>
      <c r="B58" s="22"/>
      <c r="C58" s="22"/>
      <c r="D58" s="22"/>
      <c r="E58" s="22"/>
      <c r="F58" s="22"/>
      <c r="G58" s="22"/>
    </row>
    <row r="59" spans="1:7" ht="15.5" x14ac:dyDescent="0.35">
      <c r="A59" s="22"/>
      <c r="B59" s="22"/>
      <c r="C59" s="22"/>
      <c r="D59" s="22"/>
      <c r="E59" s="22"/>
      <c r="F59" s="22"/>
      <c r="G59" s="22"/>
    </row>
    <row r="60" spans="1:7" ht="15.5" x14ac:dyDescent="0.35">
      <c r="A60" s="22"/>
      <c r="B60" s="22"/>
      <c r="C60" s="22"/>
      <c r="D60" s="22"/>
      <c r="E60" s="22"/>
      <c r="F60" s="22"/>
      <c r="G60" s="22"/>
    </row>
  </sheetData>
  <phoneticPr fontId="0" type="noConversion"/>
  <printOptions horizontalCentered="1"/>
  <pageMargins left="0.25" right="0.25" top="0.5" bottom="0.5" header="0.25" footer="0.25"/>
  <pageSetup orientation="landscape" r:id="rId1"/>
  <headerFooter alignWithMargins="0">
    <oddFooter>&amp;L&amp;"Times New Roman,Regular"&amp;12&amp;F&amp;C&amp;"Times New Roman,Regular"&amp;12Page 1 of 5&amp;R&amp;"Times New Roman,Regular"&amp;12&amp;A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R143"/>
  <sheetViews>
    <sheetView zoomScale="80" zoomScaleNormal="80" workbookViewId="0"/>
  </sheetViews>
  <sheetFormatPr defaultColWidth="9.1796875" defaultRowHeight="15.5" x14ac:dyDescent="0.35"/>
  <cols>
    <col min="1" max="1" width="6" style="22" bestFit="1" customWidth="1"/>
    <col min="2" max="2" width="42" style="22" bestFit="1" customWidth="1"/>
    <col min="3" max="8" width="18" style="22" bestFit="1" customWidth="1"/>
    <col min="9" max="9" width="19.453125" style="22" bestFit="1" customWidth="1"/>
    <col min="10" max="10" width="6" style="22" bestFit="1" customWidth="1"/>
    <col min="11" max="14" width="17.1796875" style="22" bestFit="1" customWidth="1"/>
    <col min="15" max="15" width="18.453125" style="22" bestFit="1" customWidth="1"/>
    <col min="16" max="16" width="8.54296875" style="22" bestFit="1" customWidth="1"/>
    <col min="17" max="16384" width="9.1796875" style="22"/>
  </cols>
  <sheetData>
    <row r="2" spans="1:16" ht="18" customHeight="1" x14ac:dyDescent="0.35">
      <c r="A2" s="970" t="s">
        <v>163</v>
      </c>
      <c r="B2" s="970"/>
      <c r="C2" s="970"/>
      <c r="D2" s="970"/>
      <c r="E2" s="970"/>
      <c r="F2" s="970"/>
      <c r="G2" s="970"/>
      <c r="H2" s="970"/>
      <c r="I2" s="970"/>
      <c r="J2" s="970"/>
      <c r="K2" s="516"/>
      <c r="L2" s="516"/>
      <c r="M2" s="516"/>
      <c r="N2" s="516"/>
      <c r="O2" s="516"/>
      <c r="P2" s="516"/>
    </row>
    <row r="3" spans="1:16" ht="18" customHeight="1" x14ac:dyDescent="0.35">
      <c r="A3" s="970" t="s">
        <v>25</v>
      </c>
      <c r="B3" s="970"/>
      <c r="C3" s="970"/>
      <c r="D3" s="970"/>
      <c r="E3" s="970"/>
      <c r="F3" s="970"/>
      <c r="G3" s="970"/>
      <c r="H3" s="970"/>
      <c r="I3" s="970"/>
      <c r="J3" s="970"/>
      <c r="K3" s="517"/>
      <c r="L3" s="517"/>
      <c r="M3" s="517"/>
      <c r="N3" s="517"/>
      <c r="O3" s="517"/>
      <c r="P3" s="517"/>
    </row>
    <row r="4" spans="1:16" ht="18" customHeight="1" x14ac:dyDescent="0.35">
      <c r="A4" s="970" t="s">
        <v>496</v>
      </c>
      <c r="B4" s="970"/>
      <c r="C4" s="970"/>
      <c r="D4" s="970"/>
      <c r="E4" s="970"/>
      <c r="F4" s="970"/>
      <c r="G4" s="970"/>
      <c r="H4" s="970"/>
      <c r="I4" s="970"/>
      <c r="J4" s="970"/>
      <c r="K4" s="517"/>
      <c r="L4" s="517"/>
      <c r="M4" s="517"/>
      <c r="N4" s="517"/>
      <c r="O4" s="517"/>
      <c r="P4" s="517"/>
    </row>
    <row r="5" spans="1:16" ht="18" customHeight="1" x14ac:dyDescent="0.35">
      <c r="A5" s="971" t="str">
        <f>'Stmt BG - Page 1'!A6</f>
        <v>Rate Effective Period - Twelve Months Ending December 31, 2023</v>
      </c>
      <c r="B5" s="971"/>
      <c r="C5" s="971"/>
      <c r="D5" s="971"/>
      <c r="E5" s="971"/>
      <c r="F5" s="971"/>
      <c r="G5" s="971"/>
      <c r="H5" s="971"/>
      <c r="I5" s="971"/>
      <c r="J5" s="971"/>
      <c r="K5" s="517"/>
      <c r="L5" s="517"/>
      <c r="M5" s="517"/>
      <c r="N5" s="517"/>
      <c r="O5" s="517"/>
      <c r="P5" s="517"/>
    </row>
    <row r="6" spans="1:16" ht="16" thickBot="1" x14ac:dyDescent="0.4">
      <c r="A6" s="518"/>
      <c r="B6" s="518"/>
      <c r="C6" s="518"/>
      <c r="D6" s="518"/>
      <c r="E6" s="518"/>
      <c r="F6" s="518"/>
      <c r="G6" s="518"/>
      <c r="H6" s="518"/>
      <c r="I6" s="518"/>
      <c r="J6" s="518"/>
      <c r="K6" s="41"/>
      <c r="L6" s="41"/>
      <c r="M6" s="41"/>
      <c r="N6" s="41"/>
      <c r="O6" s="41"/>
      <c r="P6" s="41"/>
    </row>
    <row r="7" spans="1:16" x14ac:dyDescent="0.35">
      <c r="A7" s="557" t="s">
        <v>8</v>
      </c>
      <c r="B7" s="546"/>
      <c r="C7" s="558" t="s">
        <v>3</v>
      </c>
      <c r="D7" s="558" t="s">
        <v>4</v>
      </c>
      <c r="E7" s="560" t="s">
        <v>114</v>
      </c>
      <c r="F7" s="558" t="s">
        <v>115</v>
      </c>
      <c r="G7" s="558" t="s">
        <v>116</v>
      </c>
      <c r="H7" s="560" t="s">
        <v>117</v>
      </c>
      <c r="I7" s="558" t="s">
        <v>118</v>
      </c>
      <c r="J7" s="559" t="s">
        <v>8</v>
      </c>
    </row>
    <row r="8" spans="1:16" ht="16" thickBot="1" x14ac:dyDescent="0.4">
      <c r="A8" s="569" t="s">
        <v>11</v>
      </c>
      <c r="B8" s="153" t="s">
        <v>89</v>
      </c>
      <c r="C8" s="691">
        <f>'Stmt BG - Page 2'!C8</f>
        <v>44927</v>
      </c>
      <c r="D8" s="691">
        <f>'Stmt BG - Page 2'!D8</f>
        <v>44958</v>
      </c>
      <c r="E8" s="691">
        <f>'Stmt BG - Page 2'!E8</f>
        <v>44986</v>
      </c>
      <c r="F8" s="691">
        <f>'Stmt BG - Page 2'!F8</f>
        <v>45017</v>
      </c>
      <c r="G8" s="691">
        <f>'Stmt BG - Page 2'!G8</f>
        <v>45047</v>
      </c>
      <c r="H8" s="691">
        <f>'Stmt BG - Page 2'!H8</f>
        <v>45078</v>
      </c>
      <c r="I8" s="472"/>
      <c r="J8" s="570" t="s">
        <v>11</v>
      </c>
    </row>
    <row r="9" spans="1:16" x14ac:dyDescent="0.35">
      <c r="A9" s="263"/>
      <c r="B9" s="10"/>
      <c r="C9" s="10"/>
      <c r="D9" s="10"/>
      <c r="E9" s="10"/>
      <c r="F9" s="10"/>
      <c r="G9" s="10"/>
      <c r="H9" s="10"/>
      <c r="I9" s="17"/>
      <c r="J9" s="264"/>
    </row>
    <row r="10" spans="1:16" ht="18.5" x14ac:dyDescent="0.35">
      <c r="A10" s="263">
        <v>1</v>
      </c>
      <c r="B10" s="17" t="s">
        <v>119</v>
      </c>
      <c r="C10" s="19">
        <f>'Stmt BH - Page 2'!C33</f>
        <v>-741561.80605000001</v>
      </c>
      <c r="D10" s="19">
        <f>'Stmt BH - Page 2'!D33</f>
        <v>-624634.48462999996</v>
      </c>
      <c r="E10" s="19">
        <f>'Stmt BH - Page 2'!E33</f>
        <v>-591263.06992999988</v>
      </c>
      <c r="F10" s="19">
        <f>'Stmt BH - Page 2'!F33</f>
        <v>-535543.25564999995</v>
      </c>
      <c r="G10" s="19">
        <f>'Stmt BH - Page 2'!G33</f>
        <v>-538917.89847999997</v>
      </c>
      <c r="H10" s="19">
        <f>'Stmt BH - Page 2'!H33</f>
        <v>-564867.23461999989</v>
      </c>
      <c r="I10" s="17"/>
      <c r="J10" s="264">
        <v>1</v>
      </c>
    </row>
    <row r="11" spans="1:16" x14ac:dyDescent="0.35">
      <c r="A11" s="263">
        <f>A10+1</f>
        <v>2</v>
      </c>
      <c r="B11" s="11"/>
      <c r="C11" s="393"/>
      <c r="D11" s="393"/>
      <c r="E11" s="393"/>
      <c r="F11" s="393"/>
      <c r="G11" s="393"/>
      <c r="H11" s="393"/>
      <c r="I11" s="17"/>
      <c r="J11" s="264">
        <f>J10+1</f>
        <v>2</v>
      </c>
    </row>
    <row r="12" spans="1:16" ht="18.5" x14ac:dyDescent="0.35">
      <c r="A12" s="263">
        <f t="shared" ref="A12:A22" si="0">A11+1</f>
        <v>3</v>
      </c>
      <c r="B12" s="17" t="s">
        <v>120</v>
      </c>
      <c r="C12" s="31">
        <f>'Stmt BH - Page 2'!C35</f>
        <v>-205116.03410999998</v>
      </c>
      <c r="D12" s="31">
        <f>'Stmt BH - Page 2'!D35</f>
        <v>-192810.88398000001</v>
      </c>
      <c r="E12" s="31">
        <f>'Stmt BH - Page 2'!E35</f>
        <v>-198840.16906000001</v>
      </c>
      <c r="F12" s="31">
        <f>'Stmt BH - Page 2'!F35</f>
        <v>-194605.73794999998</v>
      </c>
      <c r="G12" s="31">
        <f>'Stmt BH - Page 2'!G35</f>
        <v>-198625.51149999999</v>
      </c>
      <c r="H12" s="31">
        <f>'Stmt BH - Page 2'!H35</f>
        <v>-214535.06477</v>
      </c>
      <c r="I12" s="17"/>
      <c r="J12" s="264">
        <f t="shared" ref="J12:J22" si="1">J11+1</f>
        <v>3</v>
      </c>
    </row>
    <row r="13" spans="1:16" x14ac:dyDescent="0.35">
      <c r="A13" s="263">
        <f t="shared" si="0"/>
        <v>4</v>
      </c>
      <c r="B13" s="386"/>
      <c r="C13" s="394"/>
      <c r="D13" s="394"/>
      <c r="E13" s="394"/>
      <c r="F13" s="394"/>
      <c r="G13" s="394"/>
      <c r="H13" s="394"/>
      <c r="I13" s="17"/>
      <c r="J13" s="264">
        <f t="shared" si="1"/>
        <v>4</v>
      </c>
    </row>
    <row r="14" spans="1:16" ht="18.5" x14ac:dyDescent="0.35">
      <c r="A14" s="263">
        <f t="shared" si="0"/>
        <v>5</v>
      </c>
      <c r="B14" s="17" t="s">
        <v>121</v>
      </c>
      <c r="C14" s="31">
        <f>'Stmt BH - Page 2'!C37</f>
        <v>-891654.00986999995</v>
      </c>
      <c r="D14" s="31">
        <f>'Stmt BH - Page 2'!D37</f>
        <v>-862375.00478999992</v>
      </c>
      <c r="E14" s="31">
        <f>'Stmt BH - Page 2'!E37</f>
        <v>-819911.04142999998</v>
      </c>
      <c r="F14" s="31">
        <f>'Stmt BH - Page 2'!F37</f>
        <v>-932622.31893999991</v>
      </c>
      <c r="G14" s="31">
        <f>'Stmt BH - Page 2'!G37</f>
        <v>-867161.41551000008</v>
      </c>
      <c r="H14" s="31">
        <f>'Stmt BH - Page 2'!H37</f>
        <v>-964479.23351000005</v>
      </c>
      <c r="I14" s="17"/>
      <c r="J14" s="264">
        <f t="shared" si="1"/>
        <v>5</v>
      </c>
    </row>
    <row r="15" spans="1:16" x14ac:dyDescent="0.35">
      <c r="A15" s="263">
        <f t="shared" si="0"/>
        <v>6</v>
      </c>
      <c r="B15" s="17"/>
      <c r="C15" s="31"/>
      <c r="D15" s="31"/>
      <c r="E15" s="31"/>
      <c r="F15" s="31"/>
      <c r="G15" s="31"/>
      <c r="H15" s="31"/>
      <c r="I15" s="17"/>
      <c r="J15" s="264">
        <f t="shared" si="1"/>
        <v>6</v>
      </c>
    </row>
    <row r="16" spans="1:16" ht="18.5" x14ac:dyDescent="0.35">
      <c r="A16" s="263">
        <f t="shared" si="0"/>
        <v>7</v>
      </c>
      <c r="B16" s="56" t="s">
        <v>122</v>
      </c>
      <c r="C16" s="31">
        <f>'Stmt BH - Page 2'!C39</f>
        <v>-10249.57921</v>
      </c>
      <c r="D16" s="31">
        <f>'Stmt BH - Page 2'!D39</f>
        <v>-10763.09858</v>
      </c>
      <c r="E16" s="31">
        <f>'Stmt BH - Page 2'!E39</f>
        <v>-10379.888999999999</v>
      </c>
      <c r="F16" s="31">
        <f>'Stmt BH - Page 2'!F39</f>
        <v>-11253.672690000001</v>
      </c>
      <c r="G16" s="31">
        <f>'Stmt BH - Page 2'!G39</f>
        <v>-13667.902690000001</v>
      </c>
      <c r="H16" s="31">
        <f>'Stmt BH - Page 2'!H39</f>
        <v>-16839.228509999997</v>
      </c>
      <c r="I16" s="17"/>
      <c r="J16" s="264">
        <f t="shared" si="1"/>
        <v>7</v>
      </c>
    </row>
    <row r="17" spans="1:18" x14ac:dyDescent="0.35">
      <c r="A17" s="263">
        <f t="shared" si="0"/>
        <v>8</v>
      </c>
      <c r="B17" s="17"/>
      <c r="C17" s="31"/>
      <c r="D17" s="31"/>
      <c r="E17" s="31"/>
      <c r="F17" s="31"/>
      <c r="G17" s="31"/>
      <c r="H17" s="31"/>
      <c r="I17" s="17"/>
      <c r="J17" s="264">
        <f t="shared" si="1"/>
        <v>8</v>
      </c>
    </row>
    <row r="18" spans="1:18" ht="18.5" x14ac:dyDescent="0.35">
      <c r="A18" s="263">
        <f t="shared" si="0"/>
        <v>9</v>
      </c>
      <c r="B18" s="56" t="s">
        <v>123</v>
      </c>
      <c r="C18" s="31">
        <f>'Stmt BH - Page 2'!C41</f>
        <v>-15744.816879999998</v>
      </c>
      <c r="D18" s="31">
        <f>'Stmt BH - Page 2'!D41</f>
        <v>-15487.82703</v>
      </c>
      <c r="E18" s="31">
        <f>'Stmt BH - Page 2'!E41</f>
        <v>-17368.868269999999</v>
      </c>
      <c r="F18" s="31">
        <f>'Stmt BH - Page 2'!F41</f>
        <v>-15701.069149999999</v>
      </c>
      <c r="G18" s="31">
        <f>'Stmt BH - Page 2'!G41</f>
        <v>-18843.795620000001</v>
      </c>
      <c r="H18" s="31">
        <f>'Stmt BH - Page 2'!H41</f>
        <v>-24153.431509999999</v>
      </c>
      <c r="I18" s="17"/>
      <c r="J18" s="264">
        <f t="shared" si="1"/>
        <v>9</v>
      </c>
    </row>
    <row r="19" spans="1:18" x14ac:dyDescent="0.35">
      <c r="A19" s="263">
        <f t="shared" si="0"/>
        <v>10</v>
      </c>
      <c r="B19" s="17"/>
      <c r="C19" s="31"/>
      <c r="D19" s="31"/>
      <c r="E19" s="31"/>
      <c r="F19" s="31"/>
      <c r="G19" s="31"/>
      <c r="H19" s="31"/>
      <c r="I19" s="17"/>
      <c r="J19" s="264">
        <f t="shared" si="1"/>
        <v>10</v>
      </c>
    </row>
    <row r="20" spans="1:18" ht="18.5" x14ac:dyDescent="0.35">
      <c r="A20" s="263">
        <f t="shared" si="0"/>
        <v>11</v>
      </c>
      <c r="B20" s="17" t="s">
        <v>124</v>
      </c>
      <c r="C20" s="38">
        <f>'Stmt BH - Page 2'!C43</f>
        <v>-7305.1806100000003</v>
      </c>
      <c r="D20" s="38">
        <f>'Stmt BH - Page 2'!D43</f>
        <v>-10061.45959</v>
      </c>
      <c r="E20" s="38">
        <f>'Stmt BH - Page 2'!E43</f>
        <v>-8119.0762899999991</v>
      </c>
      <c r="F20" s="38">
        <f>'Stmt BH - Page 2'!F43</f>
        <v>-8726.8021099999987</v>
      </c>
      <c r="G20" s="38">
        <f>'Stmt BH - Page 2'!G43</f>
        <v>-8615.1621400000004</v>
      </c>
      <c r="H20" s="38">
        <f>'Stmt BH - Page 2'!H43</f>
        <v>-8684.0135200000004</v>
      </c>
      <c r="I20" s="17"/>
      <c r="J20" s="264">
        <f t="shared" si="1"/>
        <v>11</v>
      </c>
    </row>
    <row r="21" spans="1:18" x14ac:dyDescent="0.35">
      <c r="A21" s="263">
        <f t="shared" si="0"/>
        <v>12</v>
      </c>
      <c r="B21" s="17"/>
      <c r="C21" s="31"/>
      <c r="D21" s="31"/>
      <c r="E21" s="31"/>
      <c r="F21" s="31"/>
      <c r="G21" s="31"/>
      <c r="H21" s="31"/>
      <c r="I21" s="7"/>
      <c r="J21" s="264">
        <f t="shared" si="1"/>
        <v>12</v>
      </c>
    </row>
    <row r="22" spans="1:18" x14ac:dyDescent="0.35">
      <c r="A22" s="263">
        <f t="shared" si="0"/>
        <v>13</v>
      </c>
      <c r="B22" s="11" t="s">
        <v>125</v>
      </c>
      <c r="C22" s="519">
        <f t="shared" ref="C22:H22" si="2">SUM(C10:C20)</f>
        <v>-1871631.4267299999</v>
      </c>
      <c r="D22" s="519">
        <f t="shared" si="2"/>
        <v>-1716132.7586000001</v>
      </c>
      <c r="E22" s="519">
        <f t="shared" si="2"/>
        <v>-1645882.1139799997</v>
      </c>
      <c r="F22" s="519">
        <f t="shared" si="2"/>
        <v>-1698452.8564899999</v>
      </c>
      <c r="G22" s="519">
        <f t="shared" si="2"/>
        <v>-1645831.68594</v>
      </c>
      <c r="H22" s="519">
        <f t="shared" si="2"/>
        <v>-1793558.2064400001</v>
      </c>
      <c r="I22" s="12"/>
      <c r="J22" s="264">
        <f t="shared" si="1"/>
        <v>13</v>
      </c>
    </row>
    <row r="23" spans="1:18" ht="16" thickBot="1" x14ac:dyDescent="0.4">
      <c r="A23" s="301"/>
      <c r="B23" s="561"/>
      <c r="C23" s="562"/>
      <c r="D23" s="690"/>
      <c r="E23" s="563"/>
      <c r="F23" s="690"/>
      <c r="G23" s="563"/>
      <c r="H23" s="690"/>
      <c r="I23" s="564"/>
      <c r="J23" s="407"/>
      <c r="R23" s="143"/>
    </row>
    <row r="24" spans="1:18" ht="16" thickBot="1" x14ac:dyDescent="0.4">
      <c r="A24" s="37"/>
      <c r="B24" s="396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6"/>
    </row>
    <row r="25" spans="1:18" x14ac:dyDescent="0.35">
      <c r="A25" s="763" t="s">
        <v>8</v>
      </c>
      <c r="B25" s="456"/>
      <c r="C25" s="558" t="str">
        <f t="shared" ref="C25:I25" si="3">C7</f>
        <v>(A)</v>
      </c>
      <c r="D25" s="558" t="str">
        <f t="shared" si="3"/>
        <v>(B)</v>
      </c>
      <c r="E25" s="558" t="str">
        <f t="shared" si="3"/>
        <v>(C)</v>
      </c>
      <c r="F25" s="558" t="str">
        <f t="shared" si="3"/>
        <v>(D)</v>
      </c>
      <c r="G25" s="558" t="str">
        <f t="shared" si="3"/>
        <v>(E)</v>
      </c>
      <c r="H25" s="558" t="str">
        <f t="shared" si="3"/>
        <v>(F)</v>
      </c>
      <c r="I25" s="558" t="str">
        <f t="shared" si="3"/>
        <v>(G)</v>
      </c>
      <c r="J25" s="764" t="s">
        <v>8</v>
      </c>
      <c r="K25" s="396"/>
      <c r="L25" s="396"/>
      <c r="M25" s="396"/>
      <c r="N25" s="396"/>
      <c r="O25" s="396"/>
    </row>
    <row r="26" spans="1:18" ht="16" thickBot="1" x14ac:dyDescent="0.4">
      <c r="A26" s="765" t="s">
        <v>11</v>
      </c>
      <c r="B26" s="153" t="s">
        <v>89</v>
      </c>
      <c r="C26" s="691">
        <f>'Stmt BG - Page 2'!C26</f>
        <v>45108</v>
      </c>
      <c r="D26" s="691">
        <f>'Stmt BG - Page 2'!D26</f>
        <v>45139</v>
      </c>
      <c r="E26" s="691">
        <f>'Stmt BG - Page 2'!E26</f>
        <v>45170</v>
      </c>
      <c r="F26" s="691">
        <f>'Stmt BG - Page 2'!F26</f>
        <v>45200</v>
      </c>
      <c r="G26" s="691">
        <f>'Stmt BG - Page 2'!G26</f>
        <v>45231</v>
      </c>
      <c r="H26" s="691">
        <f>'Stmt BG - Page 2'!H26</f>
        <v>45261</v>
      </c>
      <c r="I26" s="583"/>
      <c r="J26" s="572" t="s">
        <v>11</v>
      </c>
      <c r="K26" s="396"/>
      <c r="L26" s="396"/>
      <c r="M26" s="396"/>
      <c r="N26" s="396"/>
      <c r="O26" s="396"/>
    </row>
    <row r="27" spans="1:18" x14ac:dyDescent="0.35">
      <c r="A27" s="263"/>
      <c r="B27" s="10"/>
      <c r="C27" s="10"/>
      <c r="D27" s="10"/>
      <c r="E27" s="10"/>
      <c r="F27" s="10"/>
      <c r="G27" s="10"/>
      <c r="H27" s="10"/>
      <c r="I27" s="10"/>
      <c r="J27" s="264"/>
      <c r="K27" s="396"/>
      <c r="L27" s="396"/>
      <c r="M27" s="396"/>
      <c r="N27" s="396"/>
      <c r="O27" s="396"/>
    </row>
    <row r="28" spans="1:18" ht="18.5" x14ac:dyDescent="0.35">
      <c r="A28" s="263">
        <f>A22+1</f>
        <v>14</v>
      </c>
      <c r="B28" s="17" t="s">
        <v>119</v>
      </c>
      <c r="C28" s="19">
        <f>'Stmt BH - Page 3'!C33</f>
        <v>-660247.88907999999</v>
      </c>
      <c r="D28" s="19">
        <f>'Stmt BH - Page 3'!D33</f>
        <v>-727975.69234000007</v>
      </c>
      <c r="E28" s="19">
        <f>'Stmt BH - Page 3'!E33</f>
        <v>-802276.45666999999</v>
      </c>
      <c r="F28" s="19">
        <f>'Stmt BH - Page 3'!F33</f>
        <v>-680022.74066999997</v>
      </c>
      <c r="G28" s="19">
        <f>'Stmt BH - Page 3'!G33</f>
        <v>-591424.94787999999</v>
      </c>
      <c r="H28" s="19">
        <f>'Stmt BH - Page 3'!H33</f>
        <v>-646341.40622999996</v>
      </c>
      <c r="I28" s="19">
        <f>SUM(C10:H10,C28:H28)</f>
        <v>-7705076.8822299996</v>
      </c>
      <c r="J28" s="264">
        <f>J22+1</f>
        <v>14</v>
      </c>
      <c r="K28" s="396"/>
      <c r="L28" s="396"/>
      <c r="M28" s="396"/>
      <c r="N28" s="396"/>
      <c r="O28" s="396"/>
    </row>
    <row r="29" spans="1:18" x14ac:dyDescent="0.35">
      <c r="A29" s="263">
        <f>A28+1</f>
        <v>15</v>
      </c>
      <c r="B29" s="11"/>
      <c r="C29" s="393"/>
      <c r="D29" s="393"/>
      <c r="E29" s="393"/>
      <c r="F29" s="393"/>
      <c r="G29" s="393"/>
      <c r="H29" s="393"/>
      <c r="I29" s="393"/>
      <c r="J29" s="264">
        <f>J28+1</f>
        <v>15</v>
      </c>
      <c r="K29" s="396"/>
      <c r="L29" s="396"/>
      <c r="M29" s="396"/>
      <c r="N29" s="396"/>
      <c r="O29" s="396"/>
    </row>
    <row r="30" spans="1:18" ht="18.5" x14ac:dyDescent="0.35">
      <c r="A30" s="263">
        <f t="shared" ref="A30:A40" si="4">A29+1</f>
        <v>16</v>
      </c>
      <c r="B30" s="17" t="s">
        <v>120</v>
      </c>
      <c r="C30" s="31">
        <f>'Stmt BH - Page 3'!C35</f>
        <v>-221041.82008999999</v>
      </c>
      <c r="D30" s="31">
        <f>'Stmt BH - Page 3'!D35</f>
        <v>-240861.63139999998</v>
      </c>
      <c r="E30" s="31">
        <f>'Stmt BH - Page 3'!E35</f>
        <v>-251673.22088999997</v>
      </c>
      <c r="F30" s="31">
        <f>'Stmt BH - Page 3'!F35</f>
        <v>-228713.33601999999</v>
      </c>
      <c r="G30" s="31">
        <f>'Stmt BH - Page 3'!G35</f>
        <v>-208892.83479999998</v>
      </c>
      <c r="H30" s="31">
        <f>'Stmt BH - Page 3'!H35</f>
        <v>-207909.98292999997</v>
      </c>
      <c r="I30" s="19">
        <f>SUM(C12:H12,C30:H30)</f>
        <v>-2563626.2275</v>
      </c>
      <c r="J30" s="264">
        <f t="shared" ref="J30:J40" si="5">J29+1</f>
        <v>16</v>
      </c>
      <c r="K30" s="396"/>
      <c r="L30" s="396"/>
      <c r="M30" s="396"/>
      <c r="N30" s="396"/>
      <c r="O30" s="396"/>
    </row>
    <row r="31" spans="1:18" x14ac:dyDescent="0.35">
      <c r="A31" s="263">
        <f t="shared" si="4"/>
        <v>17</v>
      </c>
      <c r="B31" s="386"/>
      <c r="C31" s="394"/>
      <c r="D31" s="394"/>
      <c r="E31" s="394"/>
      <c r="F31" s="394"/>
      <c r="G31" s="394"/>
      <c r="H31" s="394"/>
      <c r="I31" s="31"/>
      <c r="J31" s="264">
        <f t="shared" si="5"/>
        <v>17</v>
      </c>
      <c r="K31" s="396"/>
      <c r="L31" s="396"/>
      <c r="M31" s="396"/>
      <c r="N31" s="396"/>
      <c r="O31" s="396"/>
    </row>
    <row r="32" spans="1:18" ht="18.5" x14ac:dyDescent="0.35">
      <c r="A32" s="263">
        <f t="shared" si="4"/>
        <v>18</v>
      </c>
      <c r="B32" s="17" t="s">
        <v>121</v>
      </c>
      <c r="C32" s="31">
        <f>'Stmt BH - Page 3'!C37</f>
        <v>-1002333.6575199999</v>
      </c>
      <c r="D32" s="31">
        <f>'Stmt BH - Page 3'!D37</f>
        <v>-1020595.4111599999</v>
      </c>
      <c r="E32" s="31">
        <f>'Stmt BH - Page 3'!E37</f>
        <v>-1124095.3174099999</v>
      </c>
      <c r="F32" s="31">
        <f>'Stmt BH - Page 3'!F37</f>
        <v>-1028833.74204</v>
      </c>
      <c r="G32" s="31">
        <f>'Stmt BH - Page 3'!G37</f>
        <v>-946825.08076000004</v>
      </c>
      <c r="H32" s="31">
        <f>'Stmt BH - Page 3'!H37</f>
        <v>-935804.58036000002</v>
      </c>
      <c r="I32" s="19">
        <f>SUM(C14:H14,C32:H32)</f>
        <v>-11396690.813299999</v>
      </c>
      <c r="J32" s="264">
        <f t="shared" si="5"/>
        <v>18</v>
      </c>
      <c r="K32" s="396"/>
      <c r="L32" s="396"/>
      <c r="M32" s="396"/>
      <c r="N32" s="396"/>
      <c r="O32" s="396"/>
    </row>
    <row r="33" spans="1:15" x14ac:dyDescent="0.35">
      <c r="A33" s="263">
        <f t="shared" si="4"/>
        <v>19</v>
      </c>
      <c r="B33" s="17"/>
      <c r="C33" s="31"/>
      <c r="D33" s="31"/>
      <c r="E33" s="31"/>
      <c r="F33" s="31"/>
      <c r="G33" s="31"/>
      <c r="H33" s="31"/>
      <c r="I33" s="31"/>
      <c r="J33" s="264">
        <f t="shared" si="5"/>
        <v>19</v>
      </c>
      <c r="K33" s="396"/>
      <c r="L33" s="396"/>
      <c r="M33" s="396"/>
      <c r="N33" s="396"/>
      <c r="O33" s="396"/>
    </row>
    <row r="34" spans="1:15" ht="18.5" x14ac:dyDescent="0.35">
      <c r="A34" s="263">
        <f t="shared" si="4"/>
        <v>20</v>
      </c>
      <c r="B34" s="56" t="s">
        <v>122</v>
      </c>
      <c r="C34" s="31">
        <f>'Stmt BH - Page 3'!C39</f>
        <v>-18458.906959999997</v>
      </c>
      <c r="D34" s="31">
        <f>'Stmt BH - Page 3'!D39</f>
        <v>-18948.803640000002</v>
      </c>
      <c r="E34" s="31">
        <f>'Stmt BH - Page 3'!E39</f>
        <v>-19671.880929999999</v>
      </c>
      <c r="F34" s="31">
        <f>'Stmt BH - Page 3'!F39</f>
        <v>-17676.05645</v>
      </c>
      <c r="G34" s="31">
        <f>'Stmt BH - Page 3'!G39</f>
        <v>-15392.289379999998</v>
      </c>
      <c r="H34" s="31">
        <f>'Stmt BH - Page 3'!H39</f>
        <v>-12557.47077</v>
      </c>
      <c r="I34" s="19">
        <f>SUM(C16:H16,C34:H34)</f>
        <v>-175858.77880999999</v>
      </c>
      <c r="J34" s="264">
        <f t="shared" si="5"/>
        <v>20</v>
      </c>
      <c r="K34" s="396"/>
      <c r="L34" s="396"/>
      <c r="M34" s="396"/>
      <c r="N34" s="396"/>
      <c r="O34" s="396"/>
    </row>
    <row r="35" spans="1:15" x14ac:dyDescent="0.35">
      <c r="A35" s="263">
        <f t="shared" si="4"/>
        <v>21</v>
      </c>
      <c r="B35" s="17"/>
      <c r="C35" s="31"/>
      <c r="D35" s="31"/>
      <c r="E35" s="31"/>
      <c r="F35" s="31"/>
      <c r="G35" s="31"/>
      <c r="H35" s="31"/>
      <c r="I35" s="31"/>
      <c r="J35" s="264">
        <f t="shared" si="5"/>
        <v>21</v>
      </c>
      <c r="K35" s="396"/>
      <c r="L35" s="396"/>
      <c r="M35" s="396"/>
      <c r="N35" s="396"/>
      <c r="O35" s="396"/>
    </row>
    <row r="36" spans="1:15" ht="18.5" x14ac:dyDescent="0.35">
      <c r="A36" s="263">
        <f t="shared" si="4"/>
        <v>22</v>
      </c>
      <c r="B36" s="56" t="s">
        <v>123</v>
      </c>
      <c r="C36" s="31">
        <f>'Stmt BH - Page 3'!C41</f>
        <v>-21061.219399999998</v>
      </c>
      <c r="D36" s="31">
        <f>'Stmt BH - Page 3'!D41</f>
        <v>-28861.165839999994</v>
      </c>
      <c r="E36" s="31">
        <f>'Stmt BH - Page 3'!E41</f>
        <v>-24049.58569</v>
      </c>
      <c r="F36" s="31">
        <f>'Stmt BH - Page 3'!F41</f>
        <v>-24175.28945</v>
      </c>
      <c r="G36" s="31">
        <f>'Stmt BH - Page 3'!G41</f>
        <v>-19160.999</v>
      </c>
      <c r="H36" s="31">
        <f>'Stmt BH - Page 3'!H41</f>
        <v>-19058.012999999999</v>
      </c>
      <c r="I36" s="19">
        <f>SUM(C18:H18,C36:H36)</f>
        <v>-243666.08084000004</v>
      </c>
      <c r="J36" s="264">
        <f t="shared" si="5"/>
        <v>22</v>
      </c>
      <c r="K36" s="396"/>
      <c r="L36" s="396"/>
      <c r="M36" s="396"/>
      <c r="N36" s="396"/>
      <c r="O36" s="396"/>
    </row>
    <row r="37" spans="1:15" x14ac:dyDescent="0.35">
      <c r="A37" s="263">
        <f t="shared" si="4"/>
        <v>23</v>
      </c>
      <c r="B37" s="17"/>
      <c r="C37" s="31"/>
      <c r="D37" s="31"/>
      <c r="E37" s="31"/>
      <c r="F37" s="31"/>
      <c r="G37" s="31"/>
      <c r="H37" s="31"/>
      <c r="I37" s="31"/>
      <c r="J37" s="264">
        <f t="shared" si="5"/>
        <v>23</v>
      </c>
      <c r="K37" s="396"/>
      <c r="L37" s="396"/>
      <c r="M37" s="396"/>
      <c r="N37" s="396"/>
      <c r="O37" s="396"/>
    </row>
    <row r="38" spans="1:15" ht="18.5" x14ac:dyDescent="0.35">
      <c r="A38" s="263">
        <f t="shared" si="4"/>
        <v>24</v>
      </c>
      <c r="B38" s="17" t="s">
        <v>124</v>
      </c>
      <c r="C38" s="38">
        <f>'Stmt BH - Page 3'!C43</f>
        <v>-8264.481679999999</v>
      </c>
      <c r="D38" s="38">
        <f>'Stmt BH - Page 3'!D43</f>
        <v>-6183.4827599999999</v>
      </c>
      <c r="E38" s="38">
        <f>'Stmt BH - Page 3'!E43</f>
        <v>-9416.0497599999999</v>
      </c>
      <c r="F38" s="38">
        <f>'Stmt BH - Page 3'!F43</f>
        <v>-7864.4521799999993</v>
      </c>
      <c r="G38" s="38">
        <f>'Stmt BH - Page 3'!G43</f>
        <v>-8993.3474800000004</v>
      </c>
      <c r="H38" s="38">
        <f>'Stmt BH - Page 3'!H43</f>
        <v>-9594.3474900000001</v>
      </c>
      <c r="I38" s="14">
        <f>SUM(C20:H20,C38:H38)</f>
        <v>-101827.85560999998</v>
      </c>
      <c r="J38" s="264">
        <f t="shared" si="5"/>
        <v>24</v>
      </c>
      <c r="K38" s="396"/>
      <c r="L38" s="396"/>
      <c r="M38" s="396"/>
      <c r="N38" s="396"/>
      <c r="O38" s="396"/>
    </row>
    <row r="39" spans="1:15" x14ac:dyDescent="0.35">
      <c r="A39" s="263">
        <f t="shared" si="4"/>
        <v>25</v>
      </c>
      <c r="B39" s="17"/>
      <c r="C39" s="31"/>
      <c r="D39" s="31"/>
      <c r="E39" s="31"/>
      <c r="F39" s="31"/>
      <c r="G39" s="31"/>
      <c r="H39" s="31"/>
      <c r="I39" s="31"/>
      <c r="J39" s="264">
        <f t="shared" si="5"/>
        <v>25</v>
      </c>
      <c r="K39" s="396"/>
      <c r="L39" s="396"/>
      <c r="M39" s="396"/>
      <c r="N39" s="396"/>
      <c r="O39" s="396"/>
    </row>
    <row r="40" spans="1:15" x14ac:dyDescent="0.35">
      <c r="A40" s="263">
        <f t="shared" si="4"/>
        <v>26</v>
      </c>
      <c r="B40" s="11" t="s">
        <v>125</v>
      </c>
      <c r="C40" s="519">
        <f t="shared" ref="C40:I40" si="6">SUM(C28:C38)</f>
        <v>-1931407.9747299999</v>
      </c>
      <c r="D40" s="519">
        <f t="shared" si="6"/>
        <v>-2043426.1871400001</v>
      </c>
      <c r="E40" s="519">
        <f t="shared" si="6"/>
        <v>-2231182.5113499998</v>
      </c>
      <c r="F40" s="519">
        <f t="shared" si="6"/>
        <v>-1987285.61681</v>
      </c>
      <c r="G40" s="519">
        <f t="shared" si="6"/>
        <v>-1790689.4993</v>
      </c>
      <c r="H40" s="519">
        <f t="shared" si="6"/>
        <v>-1831265.8007799999</v>
      </c>
      <c r="I40" s="519">
        <f t="shared" si="6"/>
        <v>-22186746.638289995</v>
      </c>
      <c r="J40" s="264">
        <f t="shared" si="5"/>
        <v>26</v>
      </c>
      <c r="K40" s="396"/>
      <c r="L40" s="396"/>
      <c r="M40" s="396"/>
      <c r="N40" s="396"/>
      <c r="O40" s="396"/>
    </row>
    <row r="41" spans="1:15" ht="16" thickBot="1" x14ac:dyDescent="0.4">
      <c r="A41" s="301"/>
      <c r="B41" s="561"/>
      <c r="C41" s="563"/>
      <c r="D41" s="563"/>
      <c r="E41" s="563"/>
      <c r="F41" s="563"/>
      <c r="G41" s="563"/>
      <c r="H41" s="563"/>
      <c r="I41" s="261"/>
      <c r="J41" s="407"/>
      <c r="K41" s="396"/>
      <c r="L41" s="396"/>
      <c r="M41" s="396"/>
      <c r="N41" s="396"/>
      <c r="O41" s="396"/>
    </row>
    <row r="42" spans="1:15" x14ac:dyDescent="0.35">
      <c r="A42" s="50"/>
      <c r="B42" s="396"/>
      <c r="C42" s="396"/>
      <c r="D42" s="396"/>
      <c r="E42" s="396"/>
      <c r="F42" s="396"/>
      <c r="G42" s="396"/>
      <c r="H42" s="396"/>
      <c r="I42" s="396"/>
      <c r="J42" s="396"/>
      <c r="K42" s="396"/>
      <c r="L42" s="396"/>
      <c r="M42" s="396"/>
      <c r="N42" s="396"/>
      <c r="O42" s="397"/>
    </row>
    <row r="43" spans="1:15" ht="18.5" x14ac:dyDescent="0.35">
      <c r="A43" s="83" t="s">
        <v>126</v>
      </c>
      <c r="B43" s="22" t="s">
        <v>164</v>
      </c>
      <c r="C43" s="243"/>
      <c r="D43" s="243"/>
      <c r="F43" s="520">
        <v>4</v>
      </c>
      <c r="G43" s="22" t="s">
        <v>165</v>
      </c>
    </row>
    <row r="44" spans="1:15" ht="18.5" x14ac:dyDescent="0.35">
      <c r="A44" s="83">
        <v>2</v>
      </c>
      <c r="B44" s="22" t="s">
        <v>166</v>
      </c>
      <c r="C44" s="832"/>
      <c r="D44" s="832"/>
      <c r="F44" s="520">
        <v>5</v>
      </c>
      <c r="G44" s="22" t="s">
        <v>167</v>
      </c>
    </row>
    <row r="45" spans="1:15" ht="18.5" x14ac:dyDescent="0.35">
      <c r="A45" s="83">
        <v>3</v>
      </c>
      <c r="B45" s="22" t="s">
        <v>168</v>
      </c>
      <c r="C45" s="243"/>
      <c r="D45" s="243"/>
      <c r="F45" s="520">
        <v>6</v>
      </c>
      <c r="G45" s="22" t="s">
        <v>169</v>
      </c>
    </row>
    <row r="46" spans="1:15" x14ac:dyDescent="0.35">
      <c r="C46" s="243"/>
      <c r="D46" s="243"/>
    </row>
    <row r="47" spans="1:15" x14ac:dyDescent="0.35">
      <c r="C47" s="243"/>
      <c r="D47" s="243"/>
    </row>
    <row r="48" spans="1:15" x14ac:dyDescent="0.35">
      <c r="C48" s="243"/>
      <c r="D48" s="243"/>
    </row>
    <row r="49" spans="1:1" x14ac:dyDescent="0.35">
      <c r="A49" s="37"/>
    </row>
    <row r="50" spans="1:1" x14ac:dyDescent="0.35">
      <c r="A50" s="37"/>
    </row>
    <row r="51" spans="1:1" x14ac:dyDescent="0.35">
      <c r="A51" s="37"/>
    </row>
    <row r="52" spans="1:1" x14ac:dyDescent="0.35">
      <c r="A52" s="37"/>
    </row>
    <row r="53" spans="1:1" x14ac:dyDescent="0.35">
      <c r="A53" s="37"/>
    </row>
    <row r="54" spans="1:1" x14ac:dyDescent="0.35">
      <c r="A54" s="37"/>
    </row>
    <row r="55" spans="1:1" x14ac:dyDescent="0.35">
      <c r="A55" s="37"/>
    </row>
    <row r="56" spans="1:1" x14ac:dyDescent="0.35">
      <c r="A56" s="37"/>
    </row>
    <row r="57" spans="1:1" x14ac:dyDescent="0.35">
      <c r="A57" s="37"/>
    </row>
    <row r="58" spans="1:1" x14ac:dyDescent="0.35">
      <c r="A58" s="37"/>
    </row>
    <row r="59" spans="1:1" x14ac:dyDescent="0.35">
      <c r="A59" s="37"/>
    </row>
    <row r="60" spans="1:1" x14ac:dyDescent="0.35">
      <c r="A60" s="37"/>
    </row>
    <row r="61" spans="1:1" x14ac:dyDescent="0.35">
      <c r="A61" s="37"/>
    </row>
    <row r="62" spans="1:1" x14ac:dyDescent="0.35">
      <c r="A62" s="37"/>
    </row>
    <row r="63" spans="1:1" x14ac:dyDescent="0.35">
      <c r="A63" s="37"/>
    </row>
    <row r="64" spans="1:1" x14ac:dyDescent="0.35">
      <c r="A64" s="37"/>
    </row>
    <row r="65" spans="1:1" x14ac:dyDescent="0.35">
      <c r="A65" s="37"/>
    </row>
    <row r="66" spans="1:1" x14ac:dyDescent="0.35">
      <c r="A66" s="37"/>
    </row>
    <row r="67" spans="1:1" x14ac:dyDescent="0.35">
      <c r="A67" s="37"/>
    </row>
    <row r="68" spans="1:1" x14ac:dyDescent="0.35">
      <c r="A68" s="37"/>
    </row>
    <row r="69" spans="1:1" x14ac:dyDescent="0.35">
      <c r="A69" s="37"/>
    </row>
    <row r="70" spans="1:1" x14ac:dyDescent="0.35">
      <c r="A70" s="37"/>
    </row>
    <row r="71" spans="1:1" x14ac:dyDescent="0.35">
      <c r="A71" s="37"/>
    </row>
    <row r="72" spans="1:1" x14ac:dyDescent="0.35">
      <c r="A72" s="37"/>
    </row>
    <row r="73" spans="1:1" x14ac:dyDescent="0.35">
      <c r="A73" s="37"/>
    </row>
    <row r="74" spans="1:1" x14ac:dyDescent="0.35">
      <c r="A74" s="37"/>
    </row>
    <row r="75" spans="1:1" x14ac:dyDescent="0.35">
      <c r="A75" s="37"/>
    </row>
    <row r="76" spans="1:1" x14ac:dyDescent="0.35">
      <c r="A76" s="37"/>
    </row>
    <row r="77" spans="1:1" x14ac:dyDescent="0.35">
      <c r="A77" s="37"/>
    </row>
    <row r="78" spans="1:1" x14ac:dyDescent="0.35">
      <c r="A78" s="37"/>
    </row>
    <row r="79" spans="1:1" x14ac:dyDescent="0.35">
      <c r="A79" s="37"/>
    </row>
    <row r="80" spans="1:1" x14ac:dyDescent="0.35">
      <c r="A80" s="37"/>
    </row>
    <row r="81" spans="1:1" x14ac:dyDescent="0.35">
      <c r="A81" s="37"/>
    </row>
    <row r="82" spans="1:1" x14ac:dyDescent="0.35">
      <c r="A82" s="37"/>
    </row>
    <row r="83" spans="1:1" x14ac:dyDescent="0.35">
      <c r="A83" s="37"/>
    </row>
    <row r="84" spans="1:1" x14ac:dyDescent="0.35">
      <c r="A84" s="37"/>
    </row>
    <row r="85" spans="1:1" x14ac:dyDescent="0.35">
      <c r="A85" s="37"/>
    </row>
    <row r="86" spans="1:1" x14ac:dyDescent="0.35">
      <c r="A86" s="37"/>
    </row>
    <row r="87" spans="1:1" x14ac:dyDescent="0.35">
      <c r="A87" s="37"/>
    </row>
    <row r="88" spans="1:1" x14ac:dyDescent="0.35">
      <c r="A88" s="37"/>
    </row>
    <row r="89" spans="1:1" x14ac:dyDescent="0.35">
      <c r="A89" s="37"/>
    </row>
    <row r="90" spans="1:1" x14ac:dyDescent="0.35">
      <c r="A90" s="37"/>
    </row>
    <row r="91" spans="1:1" x14ac:dyDescent="0.35">
      <c r="A91" s="37"/>
    </row>
    <row r="92" spans="1:1" x14ac:dyDescent="0.35">
      <c r="A92" s="37"/>
    </row>
    <row r="93" spans="1:1" x14ac:dyDescent="0.35">
      <c r="A93" s="37"/>
    </row>
    <row r="94" spans="1:1" x14ac:dyDescent="0.35">
      <c r="A94" s="37"/>
    </row>
    <row r="95" spans="1:1" x14ac:dyDescent="0.35">
      <c r="A95" s="37"/>
    </row>
    <row r="96" spans="1:1" x14ac:dyDescent="0.35">
      <c r="A96" s="37"/>
    </row>
    <row r="97" spans="1:1" x14ac:dyDescent="0.35">
      <c r="A97" s="37"/>
    </row>
    <row r="98" spans="1:1" x14ac:dyDescent="0.35">
      <c r="A98" s="37"/>
    </row>
    <row r="99" spans="1:1" x14ac:dyDescent="0.35">
      <c r="A99" s="37"/>
    </row>
    <row r="100" spans="1:1" x14ac:dyDescent="0.35">
      <c r="A100" s="37"/>
    </row>
    <row r="101" spans="1:1" x14ac:dyDescent="0.35">
      <c r="A101" s="37"/>
    </row>
    <row r="102" spans="1:1" x14ac:dyDescent="0.35">
      <c r="A102" s="37"/>
    </row>
    <row r="103" spans="1:1" x14ac:dyDescent="0.35">
      <c r="A103" s="37"/>
    </row>
    <row r="104" spans="1:1" x14ac:dyDescent="0.35">
      <c r="A104" s="37"/>
    </row>
    <row r="105" spans="1:1" x14ac:dyDescent="0.35">
      <c r="A105" s="37"/>
    </row>
    <row r="106" spans="1:1" x14ac:dyDescent="0.35">
      <c r="A106" s="37"/>
    </row>
    <row r="107" spans="1:1" x14ac:dyDescent="0.35">
      <c r="A107" s="37"/>
    </row>
    <row r="108" spans="1:1" x14ac:dyDescent="0.35">
      <c r="A108" s="37"/>
    </row>
    <row r="109" spans="1:1" x14ac:dyDescent="0.35">
      <c r="A109" s="37"/>
    </row>
    <row r="110" spans="1:1" x14ac:dyDescent="0.35">
      <c r="A110" s="37"/>
    </row>
    <row r="111" spans="1:1" x14ac:dyDescent="0.35">
      <c r="A111" s="37"/>
    </row>
    <row r="112" spans="1:1" x14ac:dyDescent="0.35">
      <c r="A112" s="37"/>
    </row>
    <row r="113" spans="1:1" x14ac:dyDescent="0.35">
      <c r="A113" s="37"/>
    </row>
    <row r="114" spans="1:1" x14ac:dyDescent="0.35">
      <c r="A114" s="37"/>
    </row>
    <row r="115" spans="1:1" x14ac:dyDescent="0.35">
      <c r="A115" s="37"/>
    </row>
    <row r="116" spans="1:1" x14ac:dyDescent="0.35">
      <c r="A116" s="37"/>
    </row>
    <row r="117" spans="1:1" x14ac:dyDescent="0.35">
      <c r="A117" s="37"/>
    </row>
    <row r="118" spans="1:1" x14ac:dyDescent="0.35">
      <c r="A118" s="37"/>
    </row>
    <row r="119" spans="1:1" x14ac:dyDescent="0.35">
      <c r="A119" s="37"/>
    </row>
    <row r="120" spans="1:1" x14ac:dyDescent="0.35">
      <c r="A120" s="37"/>
    </row>
    <row r="121" spans="1:1" x14ac:dyDescent="0.35">
      <c r="A121" s="37"/>
    </row>
    <row r="122" spans="1:1" x14ac:dyDescent="0.35">
      <c r="A122" s="37"/>
    </row>
    <row r="123" spans="1:1" x14ac:dyDescent="0.35">
      <c r="A123" s="37"/>
    </row>
    <row r="124" spans="1:1" x14ac:dyDescent="0.35">
      <c r="A124" s="37"/>
    </row>
    <row r="125" spans="1:1" x14ac:dyDescent="0.35">
      <c r="A125" s="37"/>
    </row>
    <row r="126" spans="1:1" x14ac:dyDescent="0.35">
      <c r="A126" s="37"/>
    </row>
    <row r="127" spans="1:1" x14ac:dyDescent="0.35">
      <c r="A127" s="37"/>
    </row>
    <row r="128" spans="1:1" x14ac:dyDescent="0.35">
      <c r="A128" s="37"/>
    </row>
    <row r="129" spans="1:1" x14ac:dyDescent="0.35">
      <c r="A129" s="37"/>
    </row>
    <row r="130" spans="1:1" x14ac:dyDescent="0.35">
      <c r="A130" s="37"/>
    </row>
    <row r="131" spans="1:1" x14ac:dyDescent="0.35">
      <c r="A131" s="37"/>
    </row>
    <row r="132" spans="1:1" x14ac:dyDescent="0.35">
      <c r="A132" s="37"/>
    </row>
    <row r="133" spans="1:1" x14ac:dyDescent="0.35">
      <c r="A133" s="37"/>
    </row>
    <row r="134" spans="1:1" x14ac:dyDescent="0.35">
      <c r="A134" s="37"/>
    </row>
    <row r="135" spans="1:1" x14ac:dyDescent="0.35">
      <c r="A135" s="37"/>
    </row>
    <row r="136" spans="1:1" x14ac:dyDescent="0.35">
      <c r="A136" s="37"/>
    </row>
    <row r="137" spans="1:1" x14ac:dyDescent="0.35">
      <c r="A137" s="37"/>
    </row>
    <row r="138" spans="1:1" x14ac:dyDescent="0.35">
      <c r="A138" s="37"/>
    </row>
    <row r="139" spans="1:1" x14ac:dyDescent="0.35">
      <c r="A139" s="37"/>
    </row>
    <row r="140" spans="1:1" x14ac:dyDescent="0.35">
      <c r="A140" s="37"/>
    </row>
    <row r="141" spans="1:1" x14ac:dyDescent="0.35">
      <c r="A141" s="37"/>
    </row>
    <row r="142" spans="1:1" x14ac:dyDescent="0.35">
      <c r="A142" s="37"/>
    </row>
    <row r="143" spans="1:1" x14ac:dyDescent="0.35">
      <c r="A143" s="37"/>
    </row>
  </sheetData>
  <mergeCells count="4">
    <mergeCell ref="A2:J2"/>
    <mergeCell ref="A3:J3"/>
    <mergeCell ref="A4:J4"/>
    <mergeCell ref="A5:J5"/>
  </mergeCells>
  <printOptions horizontalCentered="1"/>
  <pageMargins left="0.25" right="0.25" top="0.5" bottom="0.5" header="0.25" footer="0.25"/>
  <pageSetup scale="49" orientation="landscape" r:id="rId1"/>
  <headerFooter alignWithMargins="0">
    <oddFooter>&amp;L&amp;"Times New Roman,Regular"&amp;12&amp;F&amp;C&amp;"Times New Roman,Regular"&amp;12Page 1 of 3&amp;R&amp;"Times New Roman,Regular"&amp;12Stmt BH - Page 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J122"/>
  <sheetViews>
    <sheetView zoomScale="80" zoomScaleNormal="80" workbookViewId="0"/>
  </sheetViews>
  <sheetFormatPr defaultColWidth="9.1796875" defaultRowHeight="12.5" x14ac:dyDescent="0.25"/>
  <cols>
    <col min="1" max="1" width="5.54296875" style="243" customWidth="1"/>
    <col min="2" max="2" width="45.54296875" style="243" customWidth="1"/>
    <col min="3" max="8" width="15.54296875" style="243" customWidth="1"/>
    <col min="9" max="9" width="40.54296875" style="243" customWidth="1"/>
    <col min="10" max="10" width="5.54296875" style="243" customWidth="1"/>
    <col min="11" max="16384" width="9.1796875" style="243"/>
  </cols>
  <sheetData>
    <row r="2" spans="1:10" ht="15.5" x14ac:dyDescent="0.25">
      <c r="A2" s="5" t="s">
        <v>163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15.5" x14ac:dyDescent="0.25">
      <c r="A3" s="419" t="s">
        <v>53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5" x14ac:dyDescent="0.25">
      <c r="A4" s="970" t="str">
        <f>'Stmt BH - Page 1'!A4:J4</f>
        <v>Transmission Revenue Balancing Account Adjustment (TRBAA) Revenue Data To Reflect Present Rates per ER22-258</v>
      </c>
      <c r="B4" s="970"/>
      <c r="C4" s="970"/>
      <c r="D4" s="970"/>
      <c r="E4" s="970"/>
      <c r="F4" s="970"/>
      <c r="G4" s="970"/>
      <c r="H4" s="970"/>
      <c r="I4" s="970"/>
      <c r="J4" s="970"/>
    </row>
    <row r="5" spans="1:10" ht="15.5" x14ac:dyDescent="0.25">
      <c r="A5" s="419" t="str">
        <f>'Stmt BH - Page 1'!A5</f>
        <v>Rate Effective Period - Twelve Months Ending December 31, 2023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ht="16" thickBot="1" x14ac:dyDescent="0.4">
      <c r="A6" s="80"/>
      <c r="B6" s="80"/>
      <c r="C6" s="80"/>
      <c r="D6" s="80"/>
      <c r="E6" s="80"/>
      <c r="F6" s="80"/>
      <c r="G6" s="80"/>
      <c r="H6" s="80"/>
      <c r="I6" s="80"/>
      <c r="J6" s="80"/>
    </row>
    <row r="7" spans="1:10" ht="15" x14ac:dyDescent="0.3">
      <c r="A7" s="75"/>
      <c r="B7" s="75"/>
      <c r="C7" s="573" t="s">
        <v>3</v>
      </c>
      <c r="D7" s="573" t="s">
        <v>4</v>
      </c>
      <c r="E7" s="573" t="s">
        <v>114</v>
      </c>
      <c r="F7" s="573" t="s">
        <v>115</v>
      </c>
      <c r="G7" s="573" t="s">
        <v>116</v>
      </c>
      <c r="H7" s="573" t="s">
        <v>117</v>
      </c>
      <c r="I7" s="573" t="s">
        <v>117</v>
      </c>
      <c r="J7" s="75"/>
    </row>
    <row r="8" spans="1:10" ht="15" x14ac:dyDescent="0.3">
      <c r="A8" s="75" t="s">
        <v>8</v>
      </c>
      <c r="B8" s="75"/>
      <c r="C8" s="574">
        <f>'Stmt BH - Page 1'!C8</f>
        <v>44927</v>
      </c>
      <c r="D8" s="574">
        <f>'Stmt BH - Page 1'!D8</f>
        <v>44958</v>
      </c>
      <c r="E8" s="574">
        <f>'Stmt BH - Page 1'!E8</f>
        <v>44986</v>
      </c>
      <c r="F8" s="574">
        <f>'Stmt BH - Page 1'!F8</f>
        <v>45017</v>
      </c>
      <c r="G8" s="574">
        <f>'Stmt BH - Page 1'!G8</f>
        <v>45047</v>
      </c>
      <c r="H8" s="574">
        <f>'Stmt BH - Page 1'!H8</f>
        <v>45078</v>
      </c>
      <c r="I8" s="568"/>
      <c r="J8" s="75" t="s">
        <v>8</v>
      </c>
    </row>
    <row r="9" spans="1:10" ht="15.5" thickBot="1" x14ac:dyDescent="0.35">
      <c r="A9" s="153" t="s">
        <v>11</v>
      </c>
      <c r="B9" s="153" t="s">
        <v>89</v>
      </c>
      <c r="C9" s="153" t="s">
        <v>133</v>
      </c>
      <c r="D9" s="153" t="s">
        <v>133</v>
      </c>
      <c r="E9" s="153" t="s">
        <v>133</v>
      </c>
      <c r="F9" s="153" t="s">
        <v>133</v>
      </c>
      <c r="G9" s="153" t="s">
        <v>133</v>
      </c>
      <c r="H9" s="153" t="s">
        <v>133</v>
      </c>
      <c r="I9" s="153" t="s">
        <v>16</v>
      </c>
      <c r="J9" s="153" t="s">
        <v>11</v>
      </c>
    </row>
    <row r="10" spans="1:10" ht="15.5" x14ac:dyDescent="0.35">
      <c r="A10" s="10"/>
      <c r="B10" s="10"/>
      <c r="C10" s="74"/>
      <c r="D10" s="10"/>
      <c r="E10" s="10"/>
      <c r="F10" s="10"/>
      <c r="G10" s="10"/>
      <c r="H10" s="10"/>
      <c r="I10" s="10"/>
      <c r="J10" s="10"/>
    </row>
    <row r="11" spans="1:10" ht="15.5" x14ac:dyDescent="0.35">
      <c r="A11" s="10">
        <v>1</v>
      </c>
      <c r="B11" s="11" t="s">
        <v>94</v>
      </c>
      <c r="C11" s="31">
        <f>'WP 1.2 Forecast Sales'!C6*1000</f>
        <v>570432158.5</v>
      </c>
      <c r="D11" s="31">
        <f>'WP 1.2 Forecast Sales'!D6*1000</f>
        <v>480488065.10000002</v>
      </c>
      <c r="E11" s="31">
        <f>'WP 1.2 Forecast Sales'!E6*1000</f>
        <v>454817746.09999996</v>
      </c>
      <c r="F11" s="31">
        <f>'WP 1.2 Forecast Sales'!F6*1000</f>
        <v>411956350.5</v>
      </c>
      <c r="G11" s="31">
        <f>'WP 1.2 Forecast Sales'!G6*1000</f>
        <v>414552229.60000002</v>
      </c>
      <c r="H11" s="31">
        <f>'WP 1.2 Forecast Sales'!H6*1000</f>
        <v>434513257.39999998</v>
      </c>
      <c r="I11" s="241" t="s">
        <v>134</v>
      </c>
      <c r="J11" s="10">
        <v>1</v>
      </c>
    </row>
    <row r="12" spans="1:10" ht="15.5" x14ac:dyDescent="0.35">
      <c r="A12" s="10">
        <f>A11+1</f>
        <v>2</v>
      </c>
      <c r="B12" s="11"/>
      <c r="C12" s="399"/>
      <c r="D12" s="399"/>
      <c r="E12" s="399"/>
      <c r="F12" s="399"/>
      <c r="G12" s="399"/>
      <c r="H12" s="399"/>
      <c r="I12" s="400"/>
      <c r="J12" s="10">
        <f>J11+1</f>
        <v>2</v>
      </c>
    </row>
    <row r="13" spans="1:10" ht="15.5" x14ac:dyDescent="0.35">
      <c r="A13" s="10">
        <f t="shared" ref="A13:A45" si="0">A12+1</f>
        <v>3</v>
      </c>
      <c r="B13" s="11" t="s">
        <v>135</v>
      </c>
      <c r="C13" s="31">
        <f>'WP 1.2 Forecast Sales'!C7*1000</f>
        <v>157781564.69999999</v>
      </c>
      <c r="D13" s="31">
        <f>'WP 1.2 Forecast Sales'!D7*1000</f>
        <v>148316064.60000002</v>
      </c>
      <c r="E13" s="31">
        <f>'WP 1.2 Forecast Sales'!E7*1000</f>
        <v>152953976.20000002</v>
      </c>
      <c r="F13" s="31">
        <f>'WP 1.2 Forecast Sales'!F7*1000</f>
        <v>149696721.5</v>
      </c>
      <c r="G13" s="31">
        <f>'WP 1.2 Forecast Sales'!G7*1000</f>
        <v>152788855</v>
      </c>
      <c r="H13" s="31">
        <f>'WP 1.2 Forecast Sales'!H7*1000</f>
        <v>165026972.90000001</v>
      </c>
      <c r="I13" s="241" t="s">
        <v>136</v>
      </c>
      <c r="J13" s="10">
        <f t="shared" ref="J13:J45" si="1">J12+1</f>
        <v>3</v>
      </c>
    </row>
    <row r="14" spans="1:10" ht="15.5" x14ac:dyDescent="0.35">
      <c r="A14" s="10">
        <f t="shared" si="0"/>
        <v>4</v>
      </c>
      <c r="B14" s="386"/>
      <c r="C14" s="394"/>
      <c r="D14" s="394"/>
      <c r="E14" s="394"/>
      <c r="F14" s="394"/>
      <c r="G14" s="394"/>
      <c r="H14" s="394"/>
      <c r="I14" s="401"/>
      <c r="J14" s="10">
        <f t="shared" si="1"/>
        <v>4</v>
      </c>
    </row>
    <row r="15" spans="1:10" ht="15.5" x14ac:dyDescent="0.35">
      <c r="A15" s="10">
        <f t="shared" si="0"/>
        <v>5</v>
      </c>
      <c r="B15" s="17" t="s">
        <v>100</v>
      </c>
      <c r="C15" s="31">
        <f>'WP 1.2 Forecast Sales'!C8*1000</f>
        <v>685887699.89999998</v>
      </c>
      <c r="D15" s="31">
        <f>'WP 1.2 Forecast Sales'!D8*1000</f>
        <v>663365388.29999995</v>
      </c>
      <c r="E15" s="31">
        <f>'WP 1.2 Forecast Sales'!E8*1000</f>
        <v>630700801.10000002</v>
      </c>
      <c r="F15" s="31">
        <f>'WP 1.2 Forecast Sales'!F8*1000</f>
        <v>717401783.79999995</v>
      </c>
      <c r="G15" s="31">
        <f>'WP 1.2 Forecast Sales'!G8*1000</f>
        <v>667047242.70000005</v>
      </c>
      <c r="H15" s="31">
        <f>'WP 1.2 Forecast Sales'!H8*1000</f>
        <v>741907102.70000005</v>
      </c>
      <c r="I15" s="241" t="s">
        <v>137</v>
      </c>
      <c r="J15" s="10">
        <f t="shared" si="1"/>
        <v>5</v>
      </c>
    </row>
    <row r="16" spans="1:10" ht="15.5" x14ac:dyDescent="0.35">
      <c r="A16" s="10">
        <f t="shared" si="0"/>
        <v>6</v>
      </c>
      <c r="B16" s="11"/>
      <c r="C16" s="31"/>
      <c r="D16" s="31"/>
      <c r="E16" s="31"/>
      <c r="F16" s="31"/>
      <c r="G16" s="31"/>
      <c r="H16" s="31"/>
      <c r="I16" s="402"/>
      <c r="J16" s="10">
        <f t="shared" si="1"/>
        <v>6</v>
      </c>
    </row>
    <row r="17" spans="1:10" ht="15.5" x14ac:dyDescent="0.35">
      <c r="A17" s="10">
        <f t="shared" si="0"/>
        <v>7</v>
      </c>
      <c r="B17" s="11" t="s">
        <v>103</v>
      </c>
      <c r="C17" s="31">
        <f>'WP 1.2 Forecast Sales'!C10*1000</f>
        <v>7884291.7000000002</v>
      </c>
      <c r="D17" s="31">
        <f>'WP 1.2 Forecast Sales'!D10*1000</f>
        <v>8279306.5999999996</v>
      </c>
      <c r="E17" s="31">
        <f>'WP 1.2 Forecast Sales'!E10*1000</f>
        <v>7984530</v>
      </c>
      <c r="F17" s="31">
        <f>'WP 1.2 Forecast Sales'!F10*1000</f>
        <v>8656671.3000000007</v>
      </c>
      <c r="G17" s="31">
        <f>'WP 1.2 Forecast Sales'!G10*1000</f>
        <v>10513771.300000001</v>
      </c>
      <c r="H17" s="31">
        <f>'WP 1.2 Forecast Sales'!H10*1000</f>
        <v>12953252.699999999</v>
      </c>
      <c r="I17" s="241" t="s">
        <v>138</v>
      </c>
      <c r="J17" s="10">
        <f t="shared" si="1"/>
        <v>7</v>
      </c>
    </row>
    <row r="18" spans="1:10" ht="15.5" x14ac:dyDescent="0.35">
      <c r="A18" s="10">
        <f t="shared" si="0"/>
        <v>8</v>
      </c>
      <c r="B18" s="11"/>
      <c r="C18" s="31"/>
      <c r="D18" s="31"/>
      <c r="E18" s="31"/>
      <c r="F18" s="31"/>
      <c r="G18" s="31"/>
      <c r="H18" s="31"/>
      <c r="I18" s="402"/>
      <c r="J18" s="10">
        <f t="shared" si="1"/>
        <v>8</v>
      </c>
    </row>
    <row r="19" spans="1:10" ht="15.5" x14ac:dyDescent="0.35">
      <c r="A19" s="10">
        <f t="shared" si="0"/>
        <v>9</v>
      </c>
      <c r="B19" s="11" t="s">
        <v>106</v>
      </c>
      <c r="C19" s="31">
        <f>'WP 1.2 Forecast Sales'!C11*1000</f>
        <v>12111397.6</v>
      </c>
      <c r="D19" s="31">
        <f>'WP 1.2 Forecast Sales'!D11*1000</f>
        <v>11913713.100000001</v>
      </c>
      <c r="E19" s="31">
        <f>'WP 1.2 Forecast Sales'!E11*1000</f>
        <v>13360667.9</v>
      </c>
      <c r="F19" s="31">
        <f>'WP 1.2 Forecast Sales'!F11*1000</f>
        <v>12077745.5</v>
      </c>
      <c r="G19" s="31">
        <f>'WP 1.2 Forecast Sales'!G11*1000</f>
        <v>14495227.4</v>
      </c>
      <c r="H19" s="31">
        <f>'WP 1.2 Forecast Sales'!H11*1000</f>
        <v>18579562.699999999</v>
      </c>
      <c r="I19" s="241" t="s">
        <v>139</v>
      </c>
      <c r="J19" s="10">
        <f t="shared" si="1"/>
        <v>9</v>
      </c>
    </row>
    <row r="20" spans="1:10" ht="15.5" x14ac:dyDescent="0.35">
      <c r="A20" s="10">
        <f t="shared" si="0"/>
        <v>10</v>
      </c>
      <c r="B20" s="11"/>
      <c r="C20" s="31"/>
      <c r="D20" s="31"/>
      <c r="E20" s="31"/>
      <c r="F20" s="31"/>
      <c r="G20" s="31"/>
      <c r="H20" s="31"/>
      <c r="I20" s="402"/>
      <c r="J20" s="10">
        <f t="shared" si="1"/>
        <v>10</v>
      </c>
    </row>
    <row r="21" spans="1:10" ht="15.5" x14ac:dyDescent="0.35">
      <c r="A21" s="10">
        <f t="shared" si="0"/>
        <v>11</v>
      </c>
      <c r="B21" s="11" t="s">
        <v>140</v>
      </c>
      <c r="C21" s="38">
        <f>'WP 1.2 Forecast Sales'!C12*1000</f>
        <v>5619369.7000000002</v>
      </c>
      <c r="D21" s="38">
        <f>'WP 1.2 Forecast Sales'!D12*1000</f>
        <v>7739584.3000000007</v>
      </c>
      <c r="E21" s="38">
        <f>'WP 1.2 Forecast Sales'!E12*1000</f>
        <v>6245443.2999999998</v>
      </c>
      <c r="F21" s="38">
        <f>'WP 1.2 Forecast Sales'!F12*1000</f>
        <v>6712924.6999999993</v>
      </c>
      <c r="G21" s="38">
        <f>'WP 1.2 Forecast Sales'!G12*1000</f>
        <v>6627047.8000000007</v>
      </c>
      <c r="H21" s="38">
        <f>'WP 1.2 Forecast Sales'!H12*1000</f>
        <v>6680010.4000000004</v>
      </c>
      <c r="I21" s="241" t="s">
        <v>141</v>
      </c>
      <c r="J21" s="10">
        <f t="shared" si="1"/>
        <v>11</v>
      </c>
    </row>
    <row r="22" spans="1:10" ht="15.5" x14ac:dyDescent="0.35">
      <c r="A22" s="10">
        <f t="shared" si="0"/>
        <v>12</v>
      </c>
      <c r="B22" s="11"/>
      <c r="C22" s="31"/>
      <c r="D22" s="31"/>
      <c r="E22" s="31"/>
      <c r="F22" s="31"/>
      <c r="G22" s="31"/>
      <c r="H22" s="31"/>
      <c r="I22" s="162"/>
      <c r="J22" s="10">
        <f t="shared" si="1"/>
        <v>12</v>
      </c>
    </row>
    <row r="23" spans="1:10" ht="16" thickBot="1" x14ac:dyDescent="0.4">
      <c r="A23" s="10">
        <f t="shared" si="0"/>
        <v>13</v>
      </c>
      <c r="B23" s="11" t="s">
        <v>125</v>
      </c>
      <c r="C23" s="475">
        <f>SUM(C11:C21)</f>
        <v>1439716482.0999999</v>
      </c>
      <c r="D23" s="475">
        <f t="shared" ref="D23:H23" si="2">SUM(D11:D21)</f>
        <v>1320102121.9999998</v>
      </c>
      <c r="E23" s="475">
        <f t="shared" si="2"/>
        <v>1266063164.6000001</v>
      </c>
      <c r="F23" s="475">
        <f t="shared" si="2"/>
        <v>1306502197.3</v>
      </c>
      <c r="G23" s="475">
        <f t="shared" si="2"/>
        <v>1266024373.8000002</v>
      </c>
      <c r="H23" s="475">
        <f t="shared" si="2"/>
        <v>1379660158.8000002</v>
      </c>
      <c r="I23" s="400" t="s">
        <v>142</v>
      </c>
      <c r="J23" s="10">
        <f t="shared" si="1"/>
        <v>13</v>
      </c>
    </row>
    <row r="24" spans="1:10" ht="16.5" thickTop="1" thickBot="1" x14ac:dyDescent="0.4">
      <c r="A24" s="57">
        <f t="shared" si="0"/>
        <v>14</v>
      </c>
      <c r="B24" s="420"/>
      <c r="C24" s="830"/>
      <c r="D24" s="58"/>
      <c r="E24" s="58"/>
      <c r="F24" s="58"/>
      <c r="G24" s="58"/>
      <c r="H24" s="58"/>
      <c r="I24" s="58"/>
      <c r="J24" s="57">
        <f t="shared" si="1"/>
        <v>14</v>
      </c>
    </row>
    <row r="25" spans="1:10" ht="15.5" x14ac:dyDescent="0.35">
      <c r="A25" s="10">
        <f t="shared" si="0"/>
        <v>15</v>
      </c>
      <c r="B25" s="421"/>
      <c r="C25" s="409"/>
      <c r="D25" s="409"/>
      <c r="E25" s="409"/>
      <c r="F25" s="409"/>
      <c r="G25" s="409"/>
      <c r="H25" s="409"/>
      <c r="I25" s="17"/>
      <c r="J25" s="10">
        <f t="shared" si="1"/>
        <v>15</v>
      </c>
    </row>
    <row r="26" spans="1:10" ht="16" thickBot="1" x14ac:dyDescent="0.4">
      <c r="A26" s="57">
        <f>A25+1</f>
        <v>16</v>
      </c>
      <c r="B26" s="420"/>
      <c r="C26" s="57" t="s">
        <v>143</v>
      </c>
      <c r="D26" s="57" t="s">
        <v>143</v>
      </c>
      <c r="E26" s="57" t="s">
        <v>143</v>
      </c>
      <c r="F26" s="57" t="s">
        <v>143</v>
      </c>
      <c r="G26" s="57" t="s">
        <v>143</v>
      </c>
      <c r="H26" s="57" t="s">
        <v>143</v>
      </c>
      <c r="I26" s="57"/>
      <c r="J26" s="57">
        <f>J25+1</f>
        <v>16</v>
      </c>
    </row>
    <row r="27" spans="1:10" ht="15.5" x14ac:dyDescent="0.35">
      <c r="A27" s="10">
        <f t="shared" si="0"/>
        <v>17</v>
      </c>
      <c r="B27" s="449"/>
      <c r="C27" s="75"/>
      <c r="D27" s="10"/>
      <c r="E27" s="10"/>
      <c r="F27" s="10"/>
      <c r="G27" s="10"/>
      <c r="H27" s="10"/>
      <c r="I27" s="410" t="s">
        <v>145</v>
      </c>
      <c r="J27" s="10">
        <f t="shared" si="1"/>
        <v>17</v>
      </c>
    </row>
    <row r="28" spans="1:10" ht="15.5" x14ac:dyDescent="0.35">
      <c r="A28" s="10">
        <f t="shared" si="0"/>
        <v>18</v>
      </c>
      <c r="B28" s="11" t="s">
        <v>170</v>
      </c>
      <c r="C28" s="385">
        <v>-1.2999999999999999E-3</v>
      </c>
      <c r="D28" s="385">
        <f>$C28</f>
        <v>-1.2999999999999999E-3</v>
      </c>
      <c r="E28" s="385">
        <f>$C28</f>
        <v>-1.2999999999999999E-3</v>
      </c>
      <c r="F28" s="385">
        <f>$C28</f>
        <v>-1.2999999999999999E-3</v>
      </c>
      <c r="G28" s="385">
        <f>$C28</f>
        <v>-1.2999999999999999E-3</v>
      </c>
      <c r="H28" s="385">
        <f>$C28</f>
        <v>-1.2999999999999999E-3</v>
      </c>
      <c r="I28" s="400" t="s">
        <v>497</v>
      </c>
      <c r="J28" s="10">
        <f t="shared" si="1"/>
        <v>18</v>
      </c>
    </row>
    <row r="29" spans="1:10" ht="16" thickBot="1" x14ac:dyDescent="0.4">
      <c r="A29" s="57">
        <f>A28+1</f>
        <v>19</v>
      </c>
      <c r="B29" s="420"/>
      <c r="C29" s="58"/>
      <c r="D29" s="58"/>
      <c r="E29" s="58"/>
      <c r="F29" s="58"/>
      <c r="G29" s="58"/>
      <c r="H29" s="58"/>
      <c r="I29" s="411"/>
      <c r="J29" s="57">
        <f>J28+1</f>
        <v>19</v>
      </c>
    </row>
    <row r="30" spans="1:10" ht="15.5" x14ac:dyDescent="0.35">
      <c r="A30" s="10">
        <f t="shared" si="0"/>
        <v>20</v>
      </c>
      <c r="B30" s="11"/>
      <c r="C30" s="17"/>
      <c r="D30" s="17"/>
      <c r="E30" s="17"/>
      <c r="F30" s="17"/>
      <c r="G30" s="17"/>
      <c r="H30" s="17"/>
      <c r="I30" s="17"/>
      <c r="J30" s="10">
        <f t="shared" si="1"/>
        <v>20</v>
      </c>
    </row>
    <row r="31" spans="1:10" ht="34.5" customHeight="1" thickBot="1" x14ac:dyDescent="0.4">
      <c r="A31" s="57">
        <f t="shared" si="0"/>
        <v>21</v>
      </c>
      <c r="B31" s="420"/>
      <c r="C31" s="404" t="s">
        <v>171</v>
      </c>
      <c r="D31" s="404" t="s">
        <v>171</v>
      </c>
      <c r="E31" s="404" t="s">
        <v>171</v>
      </c>
      <c r="F31" s="404" t="s">
        <v>171</v>
      </c>
      <c r="G31" s="404" t="s">
        <v>171</v>
      </c>
      <c r="H31" s="404" t="s">
        <v>171</v>
      </c>
      <c r="I31" s="57"/>
      <c r="J31" s="57">
        <f t="shared" si="1"/>
        <v>21</v>
      </c>
    </row>
    <row r="32" spans="1:10" ht="15.5" x14ac:dyDescent="0.35">
      <c r="A32" s="10">
        <f t="shared" si="0"/>
        <v>22</v>
      </c>
      <c r="B32" s="11"/>
      <c r="C32" s="10"/>
      <c r="D32" s="10"/>
      <c r="E32" s="10"/>
      <c r="F32" s="10"/>
      <c r="G32" s="10"/>
      <c r="H32" s="10"/>
      <c r="I32" s="74"/>
      <c r="J32" s="10">
        <f t="shared" si="1"/>
        <v>22</v>
      </c>
    </row>
    <row r="33" spans="1:10" ht="15.5" x14ac:dyDescent="0.35">
      <c r="A33" s="10">
        <f t="shared" si="0"/>
        <v>23</v>
      </c>
      <c r="B33" s="11" t="s">
        <v>94</v>
      </c>
      <c r="C33" s="141">
        <f>C11*C$28</f>
        <v>-741561.80605000001</v>
      </c>
      <c r="D33" s="141">
        <f t="shared" ref="D33:H33" si="3">D11*D$28</f>
        <v>-624634.48462999996</v>
      </c>
      <c r="E33" s="141">
        <f t="shared" si="3"/>
        <v>-591263.06992999988</v>
      </c>
      <c r="F33" s="141">
        <f t="shared" si="3"/>
        <v>-535543.25564999995</v>
      </c>
      <c r="G33" s="141">
        <f t="shared" si="3"/>
        <v>-538917.89847999997</v>
      </c>
      <c r="H33" s="141">
        <f t="shared" si="3"/>
        <v>-564867.23461999989</v>
      </c>
      <c r="I33" s="26" t="s">
        <v>147</v>
      </c>
      <c r="J33" s="10">
        <f t="shared" si="1"/>
        <v>23</v>
      </c>
    </row>
    <row r="34" spans="1:10" ht="15.5" x14ac:dyDescent="0.35">
      <c r="A34" s="10">
        <f t="shared" si="0"/>
        <v>24</v>
      </c>
      <c r="B34" s="11"/>
      <c r="C34" s="399"/>
      <c r="D34" s="399"/>
      <c r="E34" s="399"/>
      <c r="F34" s="399"/>
      <c r="G34" s="399"/>
      <c r="H34" s="399"/>
      <c r="I34" s="405"/>
      <c r="J34" s="10">
        <f t="shared" si="1"/>
        <v>24</v>
      </c>
    </row>
    <row r="35" spans="1:10" ht="15.5" x14ac:dyDescent="0.35">
      <c r="A35" s="10">
        <f t="shared" si="0"/>
        <v>25</v>
      </c>
      <c r="B35" s="11" t="s">
        <v>135</v>
      </c>
      <c r="C35" s="44">
        <f>C13*C$28</f>
        <v>-205116.03410999998</v>
      </c>
      <c r="D35" s="44">
        <f t="shared" ref="D35:H35" si="4">D13*D$28</f>
        <v>-192810.88398000001</v>
      </c>
      <c r="E35" s="44">
        <f t="shared" si="4"/>
        <v>-198840.16906000001</v>
      </c>
      <c r="F35" s="44">
        <f t="shared" si="4"/>
        <v>-194605.73794999998</v>
      </c>
      <c r="G35" s="44">
        <f t="shared" si="4"/>
        <v>-198625.51149999999</v>
      </c>
      <c r="H35" s="44">
        <f t="shared" si="4"/>
        <v>-214535.06477</v>
      </c>
      <c r="I35" s="26" t="s">
        <v>148</v>
      </c>
      <c r="J35" s="10">
        <f t="shared" si="1"/>
        <v>25</v>
      </c>
    </row>
    <row r="36" spans="1:10" ht="15.5" x14ac:dyDescent="0.35">
      <c r="A36" s="10">
        <f t="shared" si="0"/>
        <v>26</v>
      </c>
      <c r="B36" s="386"/>
      <c r="C36" s="394"/>
      <c r="D36" s="394"/>
      <c r="E36" s="394"/>
      <c r="F36" s="394"/>
      <c r="G36" s="394"/>
      <c r="H36" s="394"/>
      <c r="I36" s="26"/>
      <c r="J36" s="10">
        <f t="shared" si="1"/>
        <v>26</v>
      </c>
    </row>
    <row r="37" spans="1:10" ht="15.5" x14ac:dyDescent="0.35">
      <c r="A37" s="10">
        <f t="shared" si="0"/>
        <v>27</v>
      </c>
      <c r="B37" s="17" t="s">
        <v>100</v>
      </c>
      <c r="C37" s="44">
        <f>C15*C$28</f>
        <v>-891654.00986999995</v>
      </c>
      <c r="D37" s="44">
        <f t="shared" ref="D37:H37" si="5">D15*D$28</f>
        <v>-862375.00478999992</v>
      </c>
      <c r="E37" s="44">
        <f t="shared" si="5"/>
        <v>-819911.04142999998</v>
      </c>
      <c r="F37" s="44">
        <f t="shared" si="5"/>
        <v>-932622.31893999991</v>
      </c>
      <c r="G37" s="44">
        <f t="shared" si="5"/>
        <v>-867161.41551000008</v>
      </c>
      <c r="H37" s="44">
        <f t="shared" si="5"/>
        <v>-964479.23351000005</v>
      </c>
      <c r="I37" s="26" t="s">
        <v>149</v>
      </c>
      <c r="J37" s="10">
        <f t="shared" si="1"/>
        <v>27</v>
      </c>
    </row>
    <row r="38" spans="1:10" ht="15.5" x14ac:dyDescent="0.35">
      <c r="A38" s="10">
        <f t="shared" si="0"/>
        <v>28</v>
      </c>
      <c r="B38" s="11"/>
      <c r="C38" s="44"/>
      <c r="D38" s="44"/>
      <c r="E38" s="44"/>
      <c r="F38" s="44"/>
      <c r="G38" s="44"/>
      <c r="H38" s="44"/>
      <c r="I38" s="26"/>
      <c r="J38" s="10">
        <f t="shared" si="1"/>
        <v>28</v>
      </c>
    </row>
    <row r="39" spans="1:10" ht="15.5" x14ac:dyDescent="0.35">
      <c r="A39" s="10">
        <f t="shared" si="0"/>
        <v>29</v>
      </c>
      <c r="B39" s="11" t="s">
        <v>103</v>
      </c>
      <c r="C39" s="44">
        <f>C17*C$28</f>
        <v>-10249.57921</v>
      </c>
      <c r="D39" s="44">
        <f t="shared" ref="D39:H39" si="6">D17*D$28</f>
        <v>-10763.09858</v>
      </c>
      <c r="E39" s="44">
        <f t="shared" si="6"/>
        <v>-10379.888999999999</v>
      </c>
      <c r="F39" s="44">
        <f t="shared" si="6"/>
        <v>-11253.672690000001</v>
      </c>
      <c r="G39" s="44">
        <f t="shared" si="6"/>
        <v>-13667.902690000001</v>
      </c>
      <c r="H39" s="44">
        <f t="shared" si="6"/>
        <v>-16839.228509999997</v>
      </c>
      <c r="I39" s="26" t="s">
        <v>150</v>
      </c>
      <c r="J39" s="10">
        <f t="shared" si="1"/>
        <v>29</v>
      </c>
    </row>
    <row r="40" spans="1:10" ht="15.5" x14ac:dyDescent="0.35">
      <c r="A40" s="10">
        <f t="shared" si="0"/>
        <v>30</v>
      </c>
      <c r="B40" s="11"/>
      <c r="C40" s="44"/>
      <c r="D40" s="44"/>
      <c r="E40" s="44"/>
      <c r="F40" s="44"/>
      <c r="G40" s="44"/>
      <c r="H40" s="44"/>
      <c r="I40" s="26"/>
      <c r="J40" s="10">
        <f t="shared" si="1"/>
        <v>30</v>
      </c>
    </row>
    <row r="41" spans="1:10" ht="15.5" x14ac:dyDescent="0.35">
      <c r="A41" s="10">
        <f t="shared" si="0"/>
        <v>31</v>
      </c>
      <c r="B41" s="11" t="s">
        <v>106</v>
      </c>
      <c r="C41" s="44">
        <f>C19*C$28</f>
        <v>-15744.816879999998</v>
      </c>
      <c r="D41" s="44">
        <f t="shared" ref="D41:H41" si="7">D19*D$28</f>
        <v>-15487.82703</v>
      </c>
      <c r="E41" s="44">
        <f t="shared" si="7"/>
        <v>-17368.868269999999</v>
      </c>
      <c r="F41" s="44">
        <f t="shared" si="7"/>
        <v>-15701.069149999999</v>
      </c>
      <c r="G41" s="44">
        <f t="shared" si="7"/>
        <v>-18843.795620000001</v>
      </c>
      <c r="H41" s="44">
        <f t="shared" si="7"/>
        <v>-24153.431509999999</v>
      </c>
      <c r="I41" s="26" t="s">
        <v>151</v>
      </c>
      <c r="J41" s="10">
        <f t="shared" si="1"/>
        <v>31</v>
      </c>
    </row>
    <row r="42" spans="1:10" ht="15.5" x14ac:dyDescent="0.35">
      <c r="A42" s="10">
        <f t="shared" si="0"/>
        <v>32</v>
      </c>
      <c r="B42" s="11"/>
      <c r="C42" s="44"/>
      <c r="D42" s="44"/>
      <c r="E42" s="44"/>
      <c r="F42" s="44"/>
      <c r="G42" s="44"/>
      <c r="H42" s="44"/>
      <c r="I42" s="26"/>
      <c r="J42" s="10">
        <f t="shared" si="1"/>
        <v>32</v>
      </c>
    </row>
    <row r="43" spans="1:10" ht="15.5" x14ac:dyDescent="0.35">
      <c r="A43" s="10">
        <f t="shared" si="0"/>
        <v>33</v>
      </c>
      <c r="B43" s="11" t="s">
        <v>140</v>
      </c>
      <c r="C43" s="51">
        <f>C21*C$28</f>
        <v>-7305.1806100000003</v>
      </c>
      <c r="D43" s="51">
        <f t="shared" ref="D43:H43" si="8">D21*D$28</f>
        <v>-10061.45959</v>
      </c>
      <c r="E43" s="51">
        <f t="shared" si="8"/>
        <v>-8119.0762899999991</v>
      </c>
      <c r="F43" s="51">
        <f t="shared" si="8"/>
        <v>-8726.8021099999987</v>
      </c>
      <c r="G43" s="51">
        <f t="shared" si="8"/>
        <v>-8615.1621400000004</v>
      </c>
      <c r="H43" s="51">
        <f t="shared" si="8"/>
        <v>-8684.0135200000004</v>
      </c>
      <c r="I43" s="26" t="s">
        <v>152</v>
      </c>
      <c r="J43" s="10">
        <f t="shared" si="1"/>
        <v>33</v>
      </c>
    </row>
    <row r="44" spans="1:10" ht="15.5" x14ac:dyDescent="0.35">
      <c r="A44" s="10">
        <f t="shared" si="0"/>
        <v>34</v>
      </c>
      <c r="B44" s="11"/>
      <c r="C44" s="138"/>
      <c r="D44" s="138"/>
      <c r="E44" s="138"/>
      <c r="F44" s="138"/>
      <c r="G44" s="138"/>
      <c r="H44" s="138"/>
      <c r="I44" s="26"/>
      <c r="J44" s="10">
        <f t="shared" si="1"/>
        <v>34</v>
      </c>
    </row>
    <row r="45" spans="1:10" ht="16" thickBot="1" x14ac:dyDescent="0.4">
      <c r="A45" s="10">
        <f t="shared" si="0"/>
        <v>35</v>
      </c>
      <c r="B45" s="11" t="s">
        <v>125</v>
      </c>
      <c r="C45" s="395">
        <f>SUM(C33:C43)</f>
        <v>-1871631.4267299999</v>
      </c>
      <c r="D45" s="395">
        <f t="shared" ref="D45:H45" si="9">SUM(D33:D43)</f>
        <v>-1716132.7586000001</v>
      </c>
      <c r="E45" s="395">
        <f t="shared" si="9"/>
        <v>-1645882.1139799997</v>
      </c>
      <c r="F45" s="395">
        <f t="shared" si="9"/>
        <v>-1698452.8564899999</v>
      </c>
      <c r="G45" s="395">
        <f t="shared" si="9"/>
        <v>-1645831.68594</v>
      </c>
      <c r="H45" s="395">
        <f t="shared" si="9"/>
        <v>-1793558.2064400001</v>
      </c>
      <c r="I45" s="406" t="s">
        <v>153</v>
      </c>
      <c r="J45" s="10">
        <f t="shared" si="1"/>
        <v>35</v>
      </c>
    </row>
    <row r="46" spans="1:10" ht="16.5" thickTop="1" thickBot="1" x14ac:dyDescent="0.4">
      <c r="A46" s="57"/>
      <c r="B46" s="57"/>
      <c r="C46" s="830"/>
      <c r="D46" s="58"/>
      <c r="E46" s="58"/>
      <c r="F46" s="58"/>
      <c r="G46" s="58"/>
      <c r="H46" s="58"/>
      <c r="I46" s="58"/>
      <c r="J46" s="57"/>
    </row>
    <row r="47" spans="1:10" ht="15.5" x14ac:dyDescent="0.35">
      <c r="A47" s="37"/>
      <c r="B47" s="391"/>
      <c r="C47" s="22"/>
      <c r="D47" s="22"/>
      <c r="E47" s="22"/>
      <c r="F47" s="22"/>
      <c r="G47" s="22"/>
      <c r="H47" s="22"/>
      <c r="I47" s="22"/>
      <c r="J47" s="22"/>
    </row>
    <row r="48" spans="1:10" ht="18.5" x14ac:dyDescent="0.35">
      <c r="A48" s="69"/>
      <c r="B48" s="22"/>
      <c r="C48" s="398"/>
      <c r="D48" s="22"/>
      <c r="E48" s="22"/>
      <c r="F48" s="22"/>
      <c r="G48" s="22"/>
      <c r="H48" s="22"/>
      <c r="I48" s="22"/>
      <c r="J48" s="22"/>
    </row>
    <row r="49" spans="1:10" ht="15.5" x14ac:dyDescent="0.35">
      <c r="A49" s="831"/>
      <c r="B49" s="22"/>
      <c r="D49" s="22"/>
      <c r="E49" s="22"/>
      <c r="F49" s="22"/>
      <c r="G49" s="22"/>
      <c r="H49" s="22"/>
      <c r="I49" s="22"/>
      <c r="J49" s="22"/>
    </row>
    <row r="50" spans="1:10" ht="15.5" x14ac:dyDescent="0.35">
      <c r="A50" s="831"/>
      <c r="B50" s="22"/>
      <c r="C50" s="832"/>
      <c r="D50" s="22"/>
      <c r="E50" s="22"/>
      <c r="F50" s="22"/>
      <c r="G50" s="22"/>
      <c r="H50" s="22"/>
      <c r="I50" s="22"/>
      <c r="J50" s="22"/>
    </row>
    <row r="51" spans="1:10" ht="15.5" x14ac:dyDescent="0.35">
      <c r="A51" s="831"/>
      <c r="D51" s="22"/>
      <c r="E51" s="22"/>
      <c r="F51" s="22"/>
      <c r="G51" s="22"/>
      <c r="H51" s="22"/>
      <c r="I51" s="22"/>
      <c r="J51" s="22"/>
    </row>
    <row r="52" spans="1:10" ht="15.5" x14ac:dyDescent="0.35">
      <c r="A52" s="37"/>
      <c r="B52" s="22"/>
      <c r="C52" s="22"/>
      <c r="D52" s="22"/>
      <c r="E52" s="22"/>
      <c r="F52" s="22"/>
      <c r="G52" s="22"/>
      <c r="H52" s="22"/>
      <c r="I52" s="22"/>
      <c r="J52" s="22"/>
    </row>
    <row r="53" spans="1:10" ht="15.5" x14ac:dyDescent="0.35">
      <c r="A53" s="37"/>
      <c r="B53" s="22"/>
      <c r="C53" s="22"/>
      <c r="D53" s="22"/>
      <c r="E53" s="22"/>
      <c r="F53" s="22"/>
      <c r="G53" s="22"/>
      <c r="H53" s="22"/>
      <c r="I53" s="22"/>
      <c r="J53" s="22"/>
    </row>
    <row r="54" spans="1:10" ht="15.5" x14ac:dyDescent="0.35">
      <c r="A54" s="37"/>
      <c r="B54" s="22"/>
      <c r="C54" s="22"/>
      <c r="D54" s="22"/>
      <c r="E54" s="22"/>
      <c r="F54" s="22"/>
      <c r="G54" s="22"/>
      <c r="H54" s="22"/>
      <c r="I54" s="22"/>
      <c r="J54" s="22"/>
    </row>
    <row r="55" spans="1:10" ht="15.5" x14ac:dyDescent="0.35">
      <c r="A55" s="37"/>
      <c r="B55" s="22"/>
      <c r="C55" s="22"/>
      <c r="D55" s="22"/>
      <c r="E55" s="22"/>
      <c r="F55" s="22"/>
      <c r="G55" s="22"/>
      <c r="H55" s="22"/>
      <c r="I55" s="22"/>
      <c r="J55" s="22"/>
    </row>
    <row r="56" spans="1:10" ht="15.5" x14ac:dyDescent="0.35">
      <c r="A56" s="37"/>
      <c r="B56" s="22"/>
      <c r="C56" s="22"/>
      <c r="D56" s="22"/>
      <c r="E56" s="22"/>
      <c r="F56" s="22"/>
      <c r="G56" s="22"/>
      <c r="H56" s="22"/>
      <c r="I56" s="22"/>
      <c r="J56" s="22"/>
    </row>
    <row r="57" spans="1:10" ht="15.5" x14ac:dyDescent="0.35">
      <c r="A57" s="37"/>
      <c r="B57" s="22"/>
      <c r="C57" s="22"/>
      <c r="D57" s="22"/>
      <c r="E57" s="22"/>
      <c r="F57" s="22"/>
      <c r="G57" s="22"/>
      <c r="H57" s="22"/>
      <c r="I57" s="22"/>
      <c r="J57" s="22"/>
    </row>
    <row r="58" spans="1:10" ht="15.5" x14ac:dyDescent="0.35">
      <c r="A58" s="37"/>
      <c r="B58" s="22"/>
      <c r="C58" s="22"/>
      <c r="D58" s="22"/>
      <c r="E58" s="22"/>
      <c r="F58" s="22"/>
      <c r="G58" s="22"/>
      <c r="H58" s="22"/>
      <c r="I58" s="22"/>
      <c r="J58" s="22"/>
    </row>
    <row r="59" spans="1:10" ht="15.5" x14ac:dyDescent="0.35">
      <c r="A59" s="37"/>
      <c r="B59" s="22"/>
      <c r="C59" s="22"/>
      <c r="D59" s="22"/>
      <c r="E59" s="22"/>
      <c r="F59" s="22"/>
      <c r="G59" s="22"/>
      <c r="H59" s="22"/>
      <c r="I59" s="22"/>
      <c r="J59" s="22"/>
    </row>
    <row r="60" spans="1:10" ht="15.5" x14ac:dyDescent="0.35">
      <c r="A60" s="37"/>
      <c r="B60" s="22"/>
      <c r="C60" s="22"/>
      <c r="D60" s="22"/>
      <c r="E60" s="22"/>
      <c r="F60" s="22"/>
      <c r="G60" s="22"/>
      <c r="H60" s="22"/>
      <c r="I60" s="22"/>
      <c r="J60" s="22"/>
    </row>
    <row r="61" spans="1:10" ht="15.5" x14ac:dyDescent="0.35">
      <c r="A61" s="37"/>
      <c r="B61" s="22"/>
      <c r="C61" s="22"/>
      <c r="D61" s="22"/>
      <c r="E61" s="22"/>
      <c r="F61" s="22"/>
      <c r="G61" s="22"/>
      <c r="H61" s="22"/>
      <c r="I61" s="22"/>
      <c r="J61" s="22"/>
    </row>
    <row r="62" spans="1:10" ht="15.5" x14ac:dyDescent="0.35">
      <c r="A62" s="37"/>
      <c r="B62" s="22"/>
      <c r="C62" s="22"/>
      <c r="D62" s="22"/>
      <c r="E62" s="22"/>
      <c r="F62" s="22"/>
      <c r="G62" s="22"/>
      <c r="H62" s="22"/>
      <c r="I62" s="22"/>
      <c r="J62" s="22"/>
    </row>
    <row r="63" spans="1:10" ht="15.5" x14ac:dyDescent="0.35">
      <c r="A63" s="37"/>
      <c r="B63" s="22"/>
      <c r="C63" s="22"/>
      <c r="D63" s="22"/>
      <c r="E63" s="22"/>
      <c r="F63" s="22"/>
      <c r="G63" s="22"/>
      <c r="H63" s="22"/>
      <c r="I63" s="22"/>
      <c r="J63" s="22"/>
    </row>
    <row r="64" spans="1:10" ht="15.5" x14ac:dyDescent="0.35">
      <c r="A64" s="37"/>
      <c r="B64" s="22"/>
      <c r="C64" s="22"/>
      <c r="D64" s="22"/>
      <c r="E64" s="22"/>
      <c r="F64" s="22"/>
      <c r="G64" s="22"/>
      <c r="H64" s="22"/>
      <c r="I64" s="22"/>
      <c r="J64" s="22"/>
    </row>
    <row r="65" spans="1:10" ht="15.5" x14ac:dyDescent="0.35">
      <c r="A65" s="37"/>
      <c r="B65" s="22"/>
      <c r="C65" s="22"/>
      <c r="D65" s="22"/>
      <c r="E65" s="22"/>
      <c r="F65" s="22"/>
      <c r="G65" s="22"/>
      <c r="H65" s="22"/>
      <c r="I65" s="22"/>
      <c r="J65" s="22"/>
    </row>
    <row r="66" spans="1:10" ht="15.5" x14ac:dyDescent="0.35">
      <c r="A66" s="37"/>
      <c r="B66" s="22"/>
      <c r="C66" s="22"/>
      <c r="D66" s="22"/>
      <c r="E66" s="22"/>
      <c r="F66" s="22"/>
      <c r="G66" s="22"/>
      <c r="H66" s="22"/>
      <c r="I66" s="22"/>
      <c r="J66" s="22"/>
    </row>
    <row r="67" spans="1:10" ht="15.5" x14ac:dyDescent="0.35">
      <c r="A67" s="37"/>
      <c r="B67" s="22"/>
      <c r="C67" s="22"/>
      <c r="D67" s="22"/>
      <c r="E67" s="22"/>
      <c r="F67" s="22"/>
      <c r="G67" s="22"/>
      <c r="H67" s="22"/>
      <c r="I67" s="22"/>
      <c r="J67" s="22"/>
    </row>
    <row r="68" spans="1:10" ht="15.5" x14ac:dyDescent="0.35">
      <c r="A68" s="37"/>
      <c r="B68" s="22"/>
      <c r="C68" s="22"/>
      <c r="D68" s="22"/>
      <c r="E68" s="22"/>
      <c r="F68" s="22"/>
      <c r="G68" s="22"/>
      <c r="H68" s="22"/>
      <c r="I68" s="22"/>
      <c r="J68" s="22"/>
    </row>
    <row r="69" spans="1:10" ht="15.5" x14ac:dyDescent="0.35">
      <c r="A69" s="37"/>
      <c r="B69" s="22"/>
      <c r="C69" s="22"/>
      <c r="D69" s="22"/>
      <c r="E69" s="22"/>
      <c r="F69" s="22"/>
      <c r="G69" s="22"/>
      <c r="H69" s="22"/>
      <c r="I69" s="22"/>
      <c r="J69" s="22"/>
    </row>
    <row r="70" spans="1:10" ht="15.5" x14ac:dyDescent="0.35">
      <c r="A70" s="37"/>
      <c r="B70" s="22"/>
      <c r="C70" s="22"/>
      <c r="D70" s="22"/>
      <c r="E70" s="22"/>
      <c r="F70" s="22"/>
      <c r="G70" s="22"/>
      <c r="H70" s="22"/>
      <c r="I70" s="22"/>
      <c r="J70" s="22"/>
    </row>
    <row r="71" spans="1:10" ht="15.5" x14ac:dyDescent="0.35">
      <c r="A71" s="37"/>
      <c r="B71" s="22"/>
      <c r="C71" s="22"/>
      <c r="D71" s="22"/>
      <c r="E71" s="22"/>
      <c r="F71" s="22"/>
      <c r="G71" s="22"/>
      <c r="H71" s="22"/>
      <c r="I71" s="22"/>
      <c r="J71" s="22"/>
    </row>
    <row r="72" spans="1:10" ht="15.5" x14ac:dyDescent="0.35">
      <c r="A72" s="37"/>
      <c r="B72" s="22"/>
      <c r="C72" s="22"/>
      <c r="D72" s="22"/>
      <c r="E72" s="22"/>
      <c r="F72" s="22"/>
      <c r="G72" s="22"/>
      <c r="H72" s="22"/>
      <c r="I72" s="22"/>
      <c r="J72" s="22"/>
    </row>
    <row r="73" spans="1:10" ht="15.5" x14ac:dyDescent="0.35">
      <c r="A73" s="37"/>
      <c r="B73" s="22"/>
      <c r="C73" s="22"/>
      <c r="D73" s="22"/>
      <c r="E73" s="22"/>
      <c r="F73" s="22"/>
      <c r="G73" s="22"/>
      <c r="H73" s="22"/>
      <c r="I73" s="22"/>
      <c r="J73" s="22"/>
    </row>
    <row r="74" spans="1:10" ht="15.5" x14ac:dyDescent="0.35">
      <c r="A74" s="37"/>
      <c r="B74" s="22"/>
      <c r="C74" s="22"/>
      <c r="D74" s="22"/>
      <c r="E74" s="22"/>
      <c r="F74" s="22"/>
      <c r="G74" s="22"/>
      <c r="H74" s="22"/>
      <c r="I74" s="22"/>
      <c r="J74" s="22"/>
    </row>
    <row r="75" spans="1:10" ht="15.5" x14ac:dyDescent="0.35">
      <c r="A75" s="37"/>
      <c r="B75" s="22"/>
      <c r="C75" s="22"/>
      <c r="D75" s="22"/>
      <c r="E75" s="22"/>
      <c r="F75" s="22"/>
      <c r="G75" s="22"/>
      <c r="H75" s="22"/>
      <c r="I75" s="22"/>
      <c r="J75" s="22"/>
    </row>
    <row r="76" spans="1:10" ht="15.5" x14ac:dyDescent="0.35">
      <c r="A76" s="37"/>
      <c r="B76" s="22"/>
      <c r="C76" s="22"/>
      <c r="D76" s="22"/>
      <c r="E76" s="22"/>
      <c r="F76" s="22"/>
      <c r="G76" s="22"/>
      <c r="H76" s="22"/>
      <c r="I76" s="22"/>
      <c r="J76" s="22"/>
    </row>
    <row r="77" spans="1:10" ht="15.5" x14ac:dyDescent="0.35">
      <c r="A77" s="37"/>
      <c r="B77" s="22"/>
      <c r="C77" s="22"/>
      <c r="D77" s="22"/>
      <c r="E77" s="22"/>
      <c r="F77" s="22"/>
      <c r="G77" s="22"/>
      <c r="H77" s="22"/>
      <c r="I77" s="22"/>
      <c r="J77" s="22"/>
    </row>
    <row r="78" spans="1:10" ht="15.5" x14ac:dyDescent="0.35">
      <c r="A78" s="37"/>
      <c r="B78" s="22"/>
      <c r="C78" s="22"/>
      <c r="D78" s="22"/>
      <c r="E78" s="22"/>
      <c r="F78" s="22"/>
      <c r="G78" s="22"/>
      <c r="H78" s="22"/>
      <c r="I78" s="22"/>
      <c r="J78" s="22"/>
    </row>
    <row r="79" spans="1:10" x14ac:dyDescent="0.25">
      <c r="A79" s="831"/>
    </row>
    <row r="80" spans="1:10" x14ac:dyDescent="0.25">
      <c r="A80" s="831"/>
    </row>
    <row r="81" spans="1:1" x14ac:dyDescent="0.25">
      <c r="A81" s="831"/>
    </row>
    <row r="82" spans="1:1" x14ac:dyDescent="0.25">
      <c r="A82" s="831"/>
    </row>
    <row r="83" spans="1:1" x14ac:dyDescent="0.25">
      <c r="A83" s="831"/>
    </row>
    <row r="84" spans="1:1" x14ac:dyDescent="0.25">
      <c r="A84" s="831"/>
    </row>
    <row r="85" spans="1:1" x14ac:dyDescent="0.25">
      <c r="A85" s="831"/>
    </row>
    <row r="86" spans="1:1" x14ac:dyDescent="0.25">
      <c r="A86" s="831"/>
    </row>
    <row r="87" spans="1:1" x14ac:dyDescent="0.25">
      <c r="A87" s="831"/>
    </row>
    <row r="88" spans="1:1" x14ac:dyDescent="0.25">
      <c r="A88" s="831"/>
    </row>
    <row r="89" spans="1:1" x14ac:dyDescent="0.25">
      <c r="A89" s="831"/>
    </row>
    <row r="90" spans="1:1" x14ac:dyDescent="0.25">
      <c r="A90" s="831"/>
    </row>
    <row r="91" spans="1:1" x14ac:dyDescent="0.25">
      <c r="A91" s="831"/>
    </row>
    <row r="92" spans="1:1" x14ac:dyDescent="0.25">
      <c r="A92" s="831"/>
    </row>
    <row r="93" spans="1:1" x14ac:dyDescent="0.25">
      <c r="A93" s="831"/>
    </row>
    <row r="94" spans="1:1" x14ac:dyDescent="0.25">
      <c r="A94" s="831"/>
    </row>
    <row r="95" spans="1:1" x14ac:dyDescent="0.25">
      <c r="A95" s="831"/>
    </row>
    <row r="96" spans="1:1" x14ac:dyDescent="0.25">
      <c r="A96" s="831"/>
    </row>
    <row r="97" spans="1:1" x14ac:dyDescent="0.25">
      <c r="A97" s="831"/>
    </row>
    <row r="98" spans="1:1" x14ac:dyDescent="0.25">
      <c r="A98" s="831"/>
    </row>
    <row r="99" spans="1:1" x14ac:dyDescent="0.25">
      <c r="A99" s="831"/>
    </row>
    <row r="100" spans="1:1" x14ac:dyDescent="0.25">
      <c r="A100" s="831"/>
    </row>
    <row r="101" spans="1:1" x14ac:dyDescent="0.25">
      <c r="A101" s="831"/>
    </row>
    <row r="102" spans="1:1" x14ac:dyDescent="0.25">
      <c r="A102" s="831"/>
    </row>
    <row r="103" spans="1:1" x14ac:dyDescent="0.25">
      <c r="A103" s="831"/>
    </row>
    <row r="104" spans="1:1" x14ac:dyDescent="0.25">
      <c r="A104" s="831"/>
    </row>
    <row r="105" spans="1:1" x14ac:dyDescent="0.25">
      <c r="A105" s="831"/>
    </row>
    <row r="106" spans="1:1" x14ac:dyDescent="0.25">
      <c r="A106" s="831"/>
    </row>
    <row r="107" spans="1:1" x14ac:dyDescent="0.25">
      <c r="A107" s="831"/>
    </row>
    <row r="108" spans="1:1" x14ac:dyDescent="0.25">
      <c r="A108" s="831"/>
    </row>
    <row r="109" spans="1:1" x14ac:dyDescent="0.25">
      <c r="A109" s="831"/>
    </row>
    <row r="110" spans="1:1" x14ac:dyDescent="0.25">
      <c r="A110" s="831"/>
    </row>
    <row r="111" spans="1:1" x14ac:dyDescent="0.25">
      <c r="A111" s="831"/>
    </row>
    <row r="112" spans="1:1" x14ac:dyDescent="0.25">
      <c r="A112" s="831"/>
    </row>
    <row r="113" spans="1:1" x14ac:dyDescent="0.25">
      <c r="A113" s="831"/>
    </row>
    <row r="114" spans="1:1" x14ac:dyDescent="0.25">
      <c r="A114" s="831"/>
    </row>
    <row r="115" spans="1:1" x14ac:dyDescent="0.25">
      <c r="A115" s="831"/>
    </row>
    <row r="116" spans="1:1" x14ac:dyDescent="0.25">
      <c r="A116" s="831"/>
    </row>
    <row r="117" spans="1:1" x14ac:dyDescent="0.25">
      <c r="A117" s="831"/>
    </row>
    <row r="118" spans="1:1" x14ac:dyDescent="0.25">
      <c r="A118" s="831"/>
    </row>
    <row r="119" spans="1:1" x14ac:dyDescent="0.25">
      <c r="A119" s="831"/>
    </row>
    <row r="120" spans="1:1" x14ac:dyDescent="0.25">
      <c r="A120" s="831"/>
    </row>
    <row r="121" spans="1:1" x14ac:dyDescent="0.25">
      <c r="A121" s="831"/>
    </row>
    <row r="122" spans="1:1" x14ac:dyDescent="0.25">
      <c r="A122" s="831"/>
    </row>
  </sheetData>
  <mergeCells count="1">
    <mergeCell ref="A4:J4"/>
  </mergeCells>
  <printOptions horizontalCentered="1"/>
  <pageMargins left="0.25" right="0.25" top="0.5" bottom="0.5" header="0.25" footer="0.25"/>
  <pageSetup scale="68" orientation="landscape" r:id="rId1"/>
  <headerFooter alignWithMargins="0">
    <oddFooter>&amp;L&amp;"Times New Roman,Regular"&amp;12&amp;F&amp;C&amp;"Times New Roman,Regular"&amp;12Page 2 of 3&amp;R&amp;"Times New Roman,Regular"&amp;12&amp;A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K122"/>
  <sheetViews>
    <sheetView zoomScale="80" zoomScaleNormal="80" workbookViewId="0"/>
  </sheetViews>
  <sheetFormatPr defaultColWidth="9.1796875" defaultRowHeight="12.5" x14ac:dyDescent="0.25"/>
  <cols>
    <col min="1" max="1" width="5.54296875" style="243" customWidth="1"/>
    <col min="2" max="2" width="45.54296875" style="243" customWidth="1"/>
    <col min="3" max="8" width="15.54296875" style="243" customWidth="1"/>
    <col min="9" max="9" width="17.54296875" style="243" customWidth="1"/>
    <col min="10" max="10" width="40.54296875" style="243" customWidth="1"/>
    <col min="11" max="11" width="5.54296875" style="243" customWidth="1"/>
    <col min="12" max="16384" width="9.1796875" style="243"/>
  </cols>
  <sheetData>
    <row r="2" spans="1:11" ht="15.5" x14ac:dyDescent="0.25">
      <c r="A2" s="5" t="s">
        <v>163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5.5" x14ac:dyDescent="0.25">
      <c r="A3" s="5" t="s">
        <v>53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5" x14ac:dyDescent="0.25">
      <c r="A4" s="970" t="str">
        <f>'Stmt BH - Page 1'!A4:J4</f>
        <v>Transmission Revenue Balancing Account Adjustment (TRBAA) Revenue Data To Reflect Present Rates per ER22-258</v>
      </c>
      <c r="B4" s="970"/>
      <c r="C4" s="970"/>
      <c r="D4" s="970"/>
      <c r="E4" s="970"/>
      <c r="F4" s="970"/>
      <c r="G4" s="970"/>
      <c r="H4" s="970"/>
      <c r="I4" s="970"/>
      <c r="J4" s="970"/>
      <c r="K4" s="970"/>
    </row>
    <row r="5" spans="1:11" ht="15.5" x14ac:dyDescent="0.25">
      <c r="A5" s="419" t="str">
        <f>'Stmt BH - Page 1'!A5</f>
        <v>Rate Effective Period - Twelve Months Ending December 31, 2023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6" thickBot="1" x14ac:dyDescent="0.4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1" ht="15" x14ac:dyDescent="0.3">
      <c r="A7" s="75"/>
      <c r="B7" s="75"/>
      <c r="C7" s="575" t="s">
        <v>118</v>
      </c>
      <c r="D7" s="575" t="s">
        <v>154</v>
      </c>
      <c r="E7" s="575" t="s">
        <v>155</v>
      </c>
      <c r="F7" s="575" t="s">
        <v>156</v>
      </c>
      <c r="G7" s="575" t="s">
        <v>157</v>
      </c>
      <c r="H7" s="575" t="s">
        <v>158</v>
      </c>
      <c r="I7" s="575" t="s">
        <v>159</v>
      </c>
      <c r="J7" s="575" t="s">
        <v>159</v>
      </c>
      <c r="K7" s="75"/>
    </row>
    <row r="8" spans="1:11" ht="15" x14ac:dyDescent="0.3">
      <c r="A8" s="75" t="s">
        <v>8</v>
      </c>
      <c r="B8" s="75"/>
      <c r="C8" s="567">
        <f>'Stmt BH - Page 1'!C26</f>
        <v>45108</v>
      </c>
      <c r="D8" s="567">
        <f>'Stmt BH - Page 1'!D26</f>
        <v>45139</v>
      </c>
      <c r="E8" s="567">
        <f>'Stmt BH - Page 1'!E26</f>
        <v>45170</v>
      </c>
      <c r="F8" s="567">
        <f>'Stmt BH - Page 1'!F26</f>
        <v>45200</v>
      </c>
      <c r="G8" s="567">
        <f>'Stmt BH - Page 1'!G26</f>
        <v>45231</v>
      </c>
      <c r="H8" s="567">
        <f>'Stmt BH - Page 1'!H26</f>
        <v>45261</v>
      </c>
      <c r="I8" s="567" t="s">
        <v>18</v>
      </c>
      <c r="J8" s="568"/>
      <c r="K8" s="75" t="s">
        <v>8</v>
      </c>
    </row>
    <row r="9" spans="1:11" ht="15.5" thickBot="1" x14ac:dyDescent="0.35">
      <c r="A9" s="153" t="s">
        <v>11</v>
      </c>
      <c r="B9" s="153" t="s">
        <v>89</v>
      </c>
      <c r="C9" s="153" t="s">
        <v>133</v>
      </c>
      <c r="D9" s="153" t="s">
        <v>133</v>
      </c>
      <c r="E9" s="153" t="s">
        <v>133</v>
      </c>
      <c r="F9" s="153" t="s">
        <v>133</v>
      </c>
      <c r="G9" s="153" t="s">
        <v>133</v>
      </c>
      <c r="H9" s="153" t="s">
        <v>133</v>
      </c>
      <c r="I9" s="153" t="s">
        <v>133</v>
      </c>
      <c r="J9" s="153" t="s">
        <v>16</v>
      </c>
      <c r="K9" s="153" t="s">
        <v>11</v>
      </c>
    </row>
    <row r="10" spans="1:11" ht="15.5" x14ac:dyDescent="0.35">
      <c r="A10" s="10"/>
      <c r="B10" s="10"/>
      <c r="C10" s="74"/>
      <c r="D10" s="10"/>
      <c r="E10" s="10"/>
      <c r="F10" s="10"/>
      <c r="G10" s="10"/>
      <c r="H10" s="10"/>
      <c r="I10" s="10"/>
      <c r="J10" s="10"/>
      <c r="K10" s="10"/>
    </row>
    <row r="11" spans="1:11" ht="15.5" x14ac:dyDescent="0.35">
      <c r="A11" s="10">
        <v>1</v>
      </c>
      <c r="B11" s="11" t="s">
        <v>94</v>
      </c>
      <c r="C11" s="31">
        <f>'WP 1.2 Forecast Sales'!I6*1000</f>
        <v>507882991.60000002</v>
      </c>
      <c r="D11" s="31">
        <f>'WP 1.2 Forecast Sales'!J6*1000</f>
        <v>559981301.80000007</v>
      </c>
      <c r="E11" s="31">
        <f>'WP 1.2 Forecast Sales'!K6*1000</f>
        <v>617135735.89999998</v>
      </c>
      <c r="F11" s="31">
        <f>'WP 1.2 Forecast Sales'!L6*1000</f>
        <v>523094415.90000004</v>
      </c>
      <c r="G11" s="31">
        <f>'WP 1.2 Forecast Sales'!M6*1000</f>
        <v>454942267.60000002</v>
      </c>
      <c r="H11" s="31">
        <f>'WP 1.2 Forecast Sales'!N6*1000</f>
        <v>497185697.09999996</v>
      </c>
      <c r="I11" s="31">
        <f>SUM(C11:H11)+SUM('Stmt BH - Page 2'!C11:H11)</f>
        <v>5926982217.1000004</v>
      </c>
      <c r="J11" s="241" t="s">
        <v>134</v>
      </c>
      <c r="K11" s="10">
        <v>1</v>
      </c>
    </row>
    <row r="12" spans="1:11" ht="15.5" x14ac:dyDescent="0.35">
      <c r="A12" s="10">
        <f>A11+1</f>
        <v>2</v>
      </c>
      <c r="B12" s="11"/>
      <c r="C12" s="399"/>
      <c r="D12" s="399"/>
      <c r="E12" s="399"/>
      <c r="F12" s="399"/>
      <c r="G12" s="399"/>
      <c r="H12" s="399"/>
      <c r="I12" s="399"/>
      <c r="J12" s="400"/>
      <c r="K12" s="10">
        <f>K11+1</f>
        <v>2</v>
      </c>
    </row>
    <row r="13" spans="1:11" ht="15.5" x14ac:dyDescent="0.35">
      <c r="A13" s="10">
        <f t="shared" ref="A13:A25" si="0">A12+1</f>
        <v>3</v>
      </c>
      <c r="B13" s="11" t="s">
        <v>135</v>
      </c>
      <c r="C13" s="31">
        <f>'WP 1.2 Forecast Sales'!I7*1000</f>
        <v>170032169.30000001</v>
      </c>
      <c r="D13" s="31">
        <f>'WP 1.2 Forecast Sales'!J7*1000</f>
        <v>185278178</v>
      </c>
      <c r="E13" s="31">
        <f>'WP 1.2 Forecast Sales'!K7*1000</f>
        <v>193594785.29999998</v>
      </c>
      <c r="F13" s="31">
        <f>'WP 1.2 Forecast Sales'!L7*1000</f>
        <v>175933335.40000001</v>
      </c>
      <c r="G13" s="31">
        <f>'WP 1.2 Forecast Sales'!M7*1000</f>
        <v>160686796</v>
      </c>
      <c r="H13" s="31">
        <f>'WP 1.2 Forecast Sales'!N7*1000</f>
        <v>159930756.09999999</v>
      </c>
      <c r="I13" s="31">
        <f>SUM(C13:H13)+SUM('Stmt BH - Page 2'!C13:H13)</f>
        <v>1972020175</v>
      </c>
      <c r="J13" s="241" t="s">
        <v>136</v>
      </c>
      <c r="K13" s="10">
        <f t="shared" ref="K13:K25" si="1">K12+1</f>
        <v>3</v>
      </c>
    </row>
    <row r="14" spans="1:11" ht="15.5" x14ac:dyDescent="0.35">
      <c r="A14" s="10">
        <f t="shared" si="0"/>
        <v>4</v>
      </c>
      <c r="B14" s="386"/>
      <c r="C14" s="394"/>
      <c r="D14" s="394"/>
      <c r="E14" s="394"/>
      <c r="F14" s="394"/>
      <c r="G14" s="394"/>
      <c r="H14" s="394"/>
      <c r="I14" s="31"/>
      <c r="J14" s="401"/>
      <c r="K14" s="10">
        <f t="shared" si="1"/>
        <v>4</v>
      </c>
    </row>
    <row r="15" spans="1:11" ht="15.5" x14ac:dyDescent="0.35">
      <c r="A15" s="10">
        <f t="shared" si="0"/>
        <v>5</v>
      </c>
      <c r="B15" s="17" t="s">
        <v>100</v>
      </c>
      <c r="C15" s="31">
        <f>'WP 1.2 Forecast Sales'!I8*1000</f>
        <v>771025890.39999998</v>
      </c>
      <c r="D15" s="31">
        <f>'WP 1.2 Forecast Sales'!J8*1000</f>
        <v>785073393.19999993</v>
      </c>
      <c r="E15" s="31">
        <f>'WP 1.2 Forecast Sales'!K8*1000</f>
        <v>864688705.70000005</v>
      </c>
      <c r="F15" s="31">
        <f>'WP 1.2 Forecast Sales'!L8*1000</f>
        <v>791410570.80000007</v>
      </c>
      <c r="G15" s="31">
        <f>'WP 1.2 Forecast Sales'!M8*1000</f>
        <v>728326985.20000005</v>
      </c>
      <c r="H15" s="31">
        <f>'WP 1.2 Forecast Sales'!N8*1000</f>
        <v>719849677.20000005</v>
      </c>
      <c r="I15" s="31">
        <f>SUM(C15:H15)+SUM('Stmt BH - Page 2'!C15:H15)</f>
        <v>8766685241</v>
      </c>
      <c r="J15" s="241" t="s">
        <v>137</v>
      </c>
      <c r="K15" s="10">
        <f t="shared" si="1"/>
        <v>5</v>
      </c>
    </row>
    <row r="16" spans="1:11" ht="15.5" x14ac:dyDescent="0.35">
      <c r="A16" s="10">
        <f t="shared" si="0"/>
        <v>6</v>
      </c>
      <c r="B16" s="11"/>
      <c r="C16" s="31"/>
      <c r="D16" s="31"/>
      <c r="E16" s="31"/>
      <c r="F16" s="31"/>
      <c r="G16" s="31"/>
      <c r="H16" s="31"/>
      <c r="I16" s="31"/>
      <c r="J16" s="402"/>
      <c r="K16" s="10">
        <f t="shared" si="1"/>
        <v>6</v>
      </c>
    </row>
    <row r="17" spans="1:11" ht="15.5" x14ac:dyDescent="0.35">
      <c r="A17" s="10">
        <f t="shared" si="0"/>
        <v>7</v>
      </c>
      <c r="B17" s="11" t="s">
        <v>103</v>
      </c>
      <c r="C17" s="31">
        <f>'WP 1.2 Forecast Sales'!I10*1000</f>
        <v>14199159.199999999</v>
      </c>
      <c r="D17" s="31">
        <f>'WP 1.2 Forecast Sales'!J10*1000</f>
        <v>14576002.800000001</v>
      </c>
      <c r="E17" s="31">
        <f>'WP 1.2 Forecast Sales'!K10*1000</f>
        <v>15132216.1</v>
      </c>
      <c r="F17" s="31">
        <f>'WP 1.2 Forecast Sales'!L10*1000</f>
        <v>13596966.5</v>
      </c>
      <c r="G17" s="31">
        <f>'WP 1.2 Forecast Sales'!M10*1000</f>
        <v>11840222.6</v>
      </c>
      <c r="H17" s="31">
        <f>'WP 1.2 Forecast Sales'!N10*1000</f>
        <v>9659592.9000000004</v>
      </c>
      <c r="I17" s="31">
        <f>SUM(C17:H17)+SUM('Stmt BH - Page 2'!C17:H17)</f>
        <v>135275983.70000002</v>
      </c>
      <c r="J17" s="241" t="s">
        <v>138</v>
      </c>
      <c r="K17" s="10">
        <f t="shared" si="1"/>
        <v>7</v>
      </c>
    </row>
    <row r="18" spans="1:11" ht="15.5" x14ac:dyDescent="0.35">
      <c r="A18" s="10">
        <f t="shared" si="0"/>
        <v>8</v>
      </c>
      <c r="B18" s="11"/>
      <c r="C18" s="31"/>
      <c r="D18" s="31"/>
      <c r="E18" s="31"/>
      <c r="F18" s="31"/>
      <c r="G18" s="31"/>
      <c r="H18" s="31"/>
      <c r="I18" s="31"/>
      <c r="J18" s="402"/>
      <c r="K18" s="10">
        <f t="shared" si="1"/>
        <v>8</v>
      </c>
    </row>
    <row r="19" spans="1:11" ht="15.5" x14ac:dyDescent="0.35">
      <c r="A19" s="10">
        <f t="shared" si="0"/>
        <v>9</v>
      </c>
      <c r="B19" s="11" t="s">
        <v>106</v>
      </c>
      <c r="C19" s="31">
        <f>'WP 1.2 Forecast Sales'!I11*1000</f>
        <v>16200938</v>
      </c>
      <c r="D19" s="31">
        <f>'WP 1.2 Forecast Sales'!J11*1000</f>
        <v>22200896.799999997</v>
      </c>
      <c r="E19" s="31">
        <f>'WP 1.2 Forecast Sales'!K11*1000</f>
        <v>18499681.300000001</v>
      </c>
      <c r="F19" s="31">
        <f>'WP 1.2 Forecast Sales'!L11*1000</f>
        <v>18596376.5</v>
      </c>
      <c r="G19" s="31">
        <f>'WP 1.2 Forecast Sales'!M11*1000</f>
        <v>14739230</v>
      </c>
      <c r="H19" s="31">
        <f>'WP 1.2 Forecast Sales'!N11*1000</f>
        <v>14660010</v>
      </c>
      <c r="I19" s="31">
        <f>SUM(C19:H19)+SUM('Stmt BH - Page 2'!C19:H19)</f>
        <v>187435446.80000001</v>
      </c>
      <c r="J19" s="241" t="s">
        <v>139</v>
      </c>
      <c r="K19" s="10">
        <f t="shared" si="1"/>
        <v>9</v>
      </c>
    </row>
    <row r="20" spans="1:11" ht="15.5" x14ac:dyDescent="0.35">
      <c r="A20" s="10">
        <f t="shared" si="0"/>
        <v>10</v>
      </c>
      <c r="B20" s="11"/>
      <c r="C20" s="31"/>
      <c r="D20" s="31"/>
      <c r="E20" s="31"/>
      <c r="F20" s="31"/>
      <c r="G20" s="31"/>
      <c r="H20" s="31"/>
      <c r="I20" s="31"/>
      <c r="J20" s="402"/>
      <c r="K20" s="10">
        <f t="shared" si="1"/>
        <v>10</v>
      </c>
    </row>
    <row r="21" spans="1:11" ht="15.5" x14ac:dyDescent="0.35">
      <c r="A21" s="10">
        <f t="shared" si="0"/>
        <v>11</v>
      </c>
      <c r="B21" s="11" t="s">
        <v>140</v>
      </c>
      <c r="C21" s="38">
        <f>'WP 1.2 Forecast Sales'!I12*1000</f>
        <v>6357293.5999999996</v>
      </c>
      <c r="D21" s="38">
        <f>'WP 1.2 Forecast Sales'!J12*1000</f>
        <v>4756525.2</v>
      </c>
      <c r="E21" s="38">
        <f>'WP 1.2 Forecast Sales'!K12*1000</f>
        <v>7243115.2000000002</v>
      </c>
      <c r="F21" s="38">
        <f>'WP 1.2 Forecast Sales'!L12*1000</f>
        <v>6049578.5999999996</v>
      </c>
      <c r="G21" s="38">
        <f>'WP 1.2 Forecast Sales'!M12*1000</f>
        <v>6917959.6000000006</v>
      </c>
      <c r="H21" s="38">
        <f>'WP 1.2 Forecast Sales'!N12*1000</f>
        <v>7380267.3000000007</v>
      </c>
      <c r="I21" s="38">
        <f>SUM(C21:H21)+SUM('Stmt BH - Page 2'!C21:H21)</f>
        <v>78329119.700000003</v>
      </c>
      <c r="J21" s="241" t="s">
        <v>141</v>
      </c>
      <c r="K21" s="10">
        <f t="shared" si="1"/>
        <v>11</v>
      </c>
    </row>
    <row r="22" spans="1:11" ht="15.5" x14ac:dyDescent="0.35">
      <c r="A22" s="10">
        <f t="shared" si="0"/>
        <v>12</v>
      </c>
      <c r="B22" s="11"/>
      <c r="C22" s="31"/>
      <c r="D22" s="31"/>
      <c r="E22" s="31"/>
      <c r="F22" s="31"/>
      <c r="G22" s="31"/>
      <c r="H22" s="31"/>
      <c r="I22" s="31"/>
      <c r="J22" s="31"/>
      <c r="K22" s="10">
        <f t="shared" si="1"/>
        <v>12</v>
      </c>
    </row>
    <row r="23" spans="1:11" ht="16" thickBot="1" x14ac:dyDescent="0.4">
      <c r="A23" s="10">
        <f t="shared" si="0"/>
        <v>13</v>
      </c>
      <c r="B23" s="11" t="s">
        <v>125</v>
      </c>
      <c r="C23" s="475">
        <f>SUM(C11:C21)</f>
        <v>1485698442.1000001</v>
      </c>
      <c r="D23" s="475">
        <f t="shared" ref="D23:I23" si="2">SUM(D11:D21)</f>
        <v>1571866297.8</v>
      </c>
      <c r="E23" s="475">
        <f t="shared" si="2"/>
        <v>1716294239.5</v>
      </c>
      <c r="F23" s="475">
        <f t="shared" si="2"/>
        <v>1528681243.7</v>
      </c>
      <c r="G23" s="475">
        <f t="shared" si="2"/>
        <v>1377453461</v>
      </c>
      <c r="H23" s="475">
        <f t="shared" si="2"/>
        <v>1408666000.6000001</v>
      </c>
      <c r="I23" s="475">
        <f t="shared" si="2"/>
        <v>17066728183.300001</v>
      </c>
      <c r="J23" s="405" t="s">
        <v>142</v>
      </c>
      <c r="K23" s="10">
        <f t="shared" si="1"/>
        <v>13</v>
      </c>
    </row>
    <row r="24" spans="1:11" ht="16.5" thickTop="1" thickBot="1" x14ac:dyDescent="0.4">
      <c r="A24" s="57">
        <f t="shared" si="0"/>
        <v>14</v>
      </c>
      <c r="B24" s="420"/>
      <c r="C24" s="830"/>
      <c r="D24" s="58"/>
      <c r="E24" s="58"/>
      <c r="F24" s="58"/>
      <c r="G24" s="58"/>
      <c r="H24" s="58"/>
      <c r="I24" s="58"/>
      <c r="J24" s="58"/>
      <c r="K24" s="57">
        <f t="shared" si="1"/>
        <v>14</v>
      </c>
    </row>
    <row r="25" spans="1:11" ht="15.5" x14ac:dyDescent="0.35">
      <c r="A25" s="10">
        <f t="shared" si="0"/>
        <v>15</v>
      </c>
      <c r="B25" s="421"/>
      <c r="C25" s="409"/>
      <c r="D25" s="409"/>
      <c r="E25" s="409"/>
      <c r="F25" s="409"/>
      <c r="G25" s="409"/>
      <c r="H25" s="409"/>
      <c r="I25" s="17"/>
      <c r="J25" s="17"/>
      <c r="K25" s="10">
        <f t="shared" si="1"/>
        <v>15</v>
      </c>
    </row>
    <row r="26" spans="1:11" ht="16" thickBot="1" x14ac:dyDescent="0.4">
      <c r="A26" s="57">
        <f>A25+1</f>
        <v>16</v>
      </c>
      <c r="B26" s="420"/>
      <c r="C26" s="57" t="s">
        <v>143</v>
      </c>
      <c r="D26" s="57" t="s">
        <v>143</v>
      </c>
      <c r="E26" s="57" t="s">
        <v>143</v>
      </c>
      <c r="F26" s="57" t="s">
        <v>143</v>
      </c>
      <c r="G26" s="57" t="s">
        <v>143</v>
      </c>
      <c r="H26" s="57" t="s">
        <v>143</v>
      </c>
      <c r="I26" s="57"/>
      <c r="J26" s="57"/>
      <c r="K26" s="57">
        <f>K25+1</f>
        <v>16</v>
      </c>
    </row>
    <row r="27" spans="1:11" ht="15.5" x14ac:dyDescent="0.35">
      <c r="A27" s="9">
        <f>A26+1</f>
        <v>17</v>
      </c>
      <c r="B27" s="8"/>
      <c r="C27" s="75"/>
      <c r="D27" s="9"/>
      <c r="E27" s="9"/>
      <c r="F27" s="9"/>
      <c r="G27" s="9"/>
      <c r="H27" s="9"/>
      <c r="I27" s="9"/>
      <c r="J27" s="410" t="str">
        <f>'Stmt BH - Page 2'!I27</f>
        <v>Statement BL (Retail); Page 1; Line 27</v>
      </c>
      <c r="K27" s="9">
        <f>K26+1</f>
        <v>17</v>
      </c>
    </row>
    <row r="28" spans="1:11" ht="15.5" x14ac:dyDescent="0.35">
      <c r="A28" s="10">
        <f>A27+1</f>
        <v>18</v>
      </c>
      <c r="B28" s="11" t="str">
        <f>'Stmt BH - Page 2'!B28</f>
        <v>Retail TRBAA Rate ($/kWh) @ Present Rate</v>
      </c>
      <c r="C28" s="385">
        <f>'Stmt BH - Page 2'!C28</f>
        <v>-1.2999999999999999E-3</v>
      </c>
      <c r="D28" s="385">
        <f>$C28</f>
        <v>-1.2999999999999999E-3</v>
      </c>
      <c r="E28" s="385">
        <f>$C28</f>
        <v>-1.2999999999999999E-3</v>
      </c>
      <c r="F28" s="385">
        <f>$C28</f>
        <v>-1.2999999999999999E-3</v>
      </c>
      <c r="G28" s="385">
        <f>$C28</f>
        <v>-1.2999999999999999E-3</v>
      </c>
      <c r="H28" s="385">
        <f>$C28</f>
        <v>-1.2999999999999999E-3</v>
      </c>
      <c r="I28" s="31"/>
      <c r="J28" s="400" t="str">
        <f>'Stmt BH - Page 2'!I28</f>
        <v>FERC Docket No. ER22-258-000</v>
      </c>
      <c r="K28" s="10">
        <f>K27+1</f>
        <v>18</v>
      </c>
    </row>
    <row r="29" spans="1:11" ht="16" thickBot="1" x14ac:dyDescent="0.4">
      <c r="A29" s="57">
        <f>A28+1</f>
        <v>19</v>
      </c>
      <c r="B29" s="420"/>
      <c r="C29" s="58"/>
      <c r="D29" s="58"/>
      <c r="E29" s="58"/>
      <c r="F29" s="58"/>
      <c r="G29" s="58"/>
      <c r="H29" s="58"/>
      <c r="I29" s="58"/>
      <c r="J29" s="411"/>
      <c r="K29" s="57">
        <f>K28+1</f>
        <v>19</v>
      </c>
    </row>
    <row r="30" spans="1:11" ht="15.5" x14ac:dyDescent="0.35">
      <c r="A30" s="10">
        <f t="shared" ref="A30:A45" si="3">A29+1</f>
        <v>20</v>
      </c>
      <c r="B30" s="11"/>
      <c r="C30" s="248"/>
      <c r="D30" s="248"/>
      <c r="E30" s="248"/>
      <c r="F30" s="248"/>
      <c r="G30" s="248"/>
      <c r="H30" s="248"/>
      <c r="I30" s="31"/>
      <c r="J30" s="17"/>
      <c r="K30" s="10">
        <f t="shared" ref="K30:K45" si="4">K29+1</f>
        <v>20</v>
      </c>
    </row>
    <row r="31" spans="1:11" ht="34.5" customHeight="1" thickBot="1" x14ac:dyDescent="0.4">
      <c r="A31" s="57">
        <f t="shared" si="3"/>
        <v>21</v>
      </c>
      <c r="B31" s="420"/>
      <c r="C31" s="412" t="s">
        <v>171</v>
      </c>
      <c r="D31" s="412" t="s">
        <v>171</v>
      </c>
      <c r="E31" s="412" t="s">
        <v>171</v>
      </c>
      <c r="F31" s="412" t="s">
        <v>171</v>
      </c>
      <c r="G31" s="412" t="s">
        <v>171</v>
      </c>
      <c r="H31" s="412" t="s">
        <v>171</v>
      </c>
      <c r="I31" s="412" t="s">
        <v>171</v>
      </c>
      <c r="J31" s="57"/>
      <c r="K31" s="57">
        <f t="shared" si="4"/>
        <v>21</v>
      </c>
    </row>
    <row r="32" spans="1:11" ht="15.5" x14ac:dyDescent="0.35">
      <c r="A32" s="10">
        <f t="shared" si="3"/>
        <v>22</v>
      </c>
      <c r="B32" s="11"/>
      <c r="C32" s="10"/>
      <c r="D32" s="10"/>
      <c r="E32" s="10"/>
      <c r="F32" s="10"/>
      <c r="G32" s="10"/>
      <c r="H32" s="10"/>
      <c r="I32" s="10"/>
      <c r="J32" s="74"/>
      <c r="K32" s="10">
        <f t="shared" si="4"/>
        <v>22</v>
      </c>
    </row>
    <row r="33" spans="1:11" ht="15.5" x14ac:dyDescent="0.35">
      <c r="A33" s="10">
        <f t="shared" si="3"/>
        <v>23</v>
      </c>
      <c r="B33" s="11" t="s">
        <v>94</v>
      </c>
      <c r="C33" s="141">
        <f>C11*C$28</f>
        <v>-660247.88907999999</v>
      </c>
      <c r="D33" s="141">
        <f t="shared" ref="D33:H33" si="5">D11*D$28</f>
        <v>-727975.69234000007</v>
      </c>
      <c r="E33" s="141">
        <f t="shared" si="5"/>
        <v>-802276.45666999999</v>
      </c>
      <c r="F33" s="141">
        <f t="shared" si="5"/>
        <v>-680022.74066999997</v>
      </c>
      <c r="G33" s="141">
        <f t="shared" si="5"/>
        <v>-591424.94787999999</v>
      </c>
      <c r="H33" s="141">
        <f t="shared" si="5"/>
        <v>-646341.40622999996</v>
      </c>
      <c r="I33" s="141">
        <f>SUM('Stmt BH - Page 2'!C33:H33)+SUM('Stmt BH - Page 3'!C33:H33)</f>
        <v>-7705076.8822299987</v>
      </c>
      <c r="J33" s="26" t="s">
        <v>147</v>
      </c>
      <c r="K33" s="10">
        <f t="shared" si="4"/>
        <v>23</v>
      </c>
    </row>
    <row r="34" spans="1:11" ht="15.5" x14ac:dyDescent="0.35">
      <c r="A34" s="10">
        <f t="shared" si="3"/>
        <v>24</v>
      </c>
      <c r="B34" s="11"/>
      <c r="C34" s="399"/>
      <c r="D34" s="399"/>
      <c r="E34" s="399"/>
      <c r="F34" s="399"/>
      <c r="G34" s="399"/>
      <c r="H34" s="399"/>
      <c r="I34" s="399"/>
      <c r="J34" s="405"/>
      <c r="K34" s="10">
        <f t="shared" si="4"/>
        <v>24</v>
      </c>
    </row>
    <row r="35" spans="1:11" ht="15.5" x14ac:dyDescent="0.35">
      <c r="A35" s="10">
        <f t="shared" si="3"/>
        <v>25</v>
      </c>
      <c r="B35" s="11" t="s">
        <v>135</v>
      </c>
      <c r="C35" s="44">
        <f>C13*C$28</f>
        <v>-221041.82008999999</v>
      </c>
      <c r="D35" s="44">
        <f t="shared" ref="D35:H35" si="6">D13*D$28</f>
        <v>-240861.63139999998</v>
      </c>
      <c r="E35" s="44">
        <f t="shared" si="6"/>
        <v>-251673.22088999997</v>
      </c>
      <c r="F35" s="44">
        <f t="shared" si="6"/>
        <v>-228713.33601999999</v>
      </c>
      <c r="G35" s="44">
        <f t="shared" si="6"/>
        <v>-208892.83479999998</v>
      </c>
      <c r="H35" s="44">
        <f t="shared" si="6"/>
        <v>-207909.98292999997</v>
      </c>
      <c r="I35" s="44">
        <f>SUM('Stmt BH - Page 2'!C35:H35)+SUM('Stmt BH - Page 3'!C35:H35)</f>
        <v>-2563626.2275</v>
      </c>
      <c r="J35" s="26" t="s">
        <v>148</v>
      </c>
      <c r="K35" s="10">
        <f t="shared" si="4"/>
        <v>25</v>
      </c>
    </row>
    <row r="36" spans="1:11" ht="15.5" x14ac:dyDescent="0.35">
      <c r="A36" s="10">
        <f t="shared" si="3"/>
        <v>26</v>
      </c>
      <c r="B36" s="386"/>
      <c r="C36" s="394"/>
      <c r="D36" s="394"/>
      <c r="E36" s="394"/>
      <c r="F36" s="394"/>
      <c r="G36" s="394"/>
      <c r="H36" s="394"/>
      <c r="I36" s="44"/>
      <c r="J36" s="26"/>
      <c r="K36" s="10">
        <f t="shared" si="4"/>
        <v>26</v>
      </c>
    </row>
    <row r="37" spans="1:11" ht="15.5" x14ac:dyDescent="0.35">
      <c r="A37" s="10">
        <f t="shared" si="3"/>
        <v>27</v>
      </c>
      <c r="B37" s="17" t="s">
        <v>100</v>
      </c>
      <c r="C37" s="44">
        <f>C15*C$28</f>
        <v>-1002333.6575199999</v>
      </c>
      <c r="D37" s="44">
        <f t="shared" ref="D37:H37" si="7">D15*D$28</f>
        <v>-1020595.4111599999</v>
      </c>
      <c r="E37" s="44">
        <f t="shared" si="7"/>
        <v>-1124095.3174099999</v>
      </c>
      <c r="F37" s="44">
        <f t="shared" si="7"/>
        <v>-1028833.74204</v>
      </c>
      <c r="G37" s="44">
        <f t="shared" si="7"/>
        <v>-946825.08076000004</v>
      </c>
      <c r="H37" s="44">
        <f t="shared" si="7"/>
        <v>-935804.58036000002</v>
      </c>
      <c r="I37" s="44">
        <f>SUM('Stmt BH - Page 2'!C37:H37)+SUM('Stmt BH - Page 3'!C37:H37)</f>
        <v>-11396690.813299999</v>
      </c>
      <c r="J37" s="26" t="s">
        <v>149</v>
      </c>
      <c r="K37" s="10">
        <f t="shared" si="4"/>
        <v>27</v>
      </c>
    </row>
    <row r="38" spans="1:11" ht="15.5" x14ac:dyDescent="0.35">
      <c r="A38" s="10">
        <f t="shared" si="3"/>
        <v>28</v>
      </c>
      <c r="B38" s="11"/>
      <c r="C38" s="44"/>
      <c r="D38" s="44"/>
      <c r="E38" s="44"/>
      <c r="F38" s="44"/>
      <c r="G38" s="44"/>
      <c r="H38" s="44"/>
      <c r="I38" s="44"/>
      <c r="J38" s="26"/>
      <c r="K38" s="10">
        <f t="shared" si="4"/>
        <v>28</v>
      </c>
    </row>
    <row r="39" spans="1:11" ht="15.5" x14ac:dyDescent="0.35">
      <c r="A39" s="10">
        <f t="shared" si="3"/>
        <v>29</v>
      </c>
      <c r="B39" s="11" t="s">
        <v>103</v>
      </c>
      <c r="C39" s="44">
        <f>C17*C$28</f>
        <v>-18458.906959999997</v>
      </c>
      <c r="D39" s="44">
        <f t="shared" ref="D39:H39" si="8">D17*D$28</f>
        <v>-18948.803640000002</v>
      </c>
      <c r="E39" s="44">
        <f t="shared" si="8"/>
        <v>-19671.880929999999</v>
      </c>
      <c r="F39" s="44">
        <f t="shared" si="8"/>
        <v>-17676.05645</v>
      </c>
      <c r="G39" s="44">
        <f t="shared" si="8"/>
        <v>-15392.289379999998</v>
      </c>
      <c r="H39" s="44">
        <f t="shared" si="8"/>
        <v>-12557.47077</v>
      </c>
      <c r="I39" s="44">
        <f>SUM('Stmt BH - Page 2'!C39:H39)+SUM('Stmt BH - Page 3'!C39:H39)</f>
        <v>-175858.77880999999</v>
      </c>
      <c r="J39" s="26" t="s">
        <v>150</v>
      </c>
      <c r="K39" s="10">
        <f t="shared" si="4"/>
        <v>29</v>
      </c>
    </row>
    <row r="40" spans="1:11" ht="15.5" x14ac:dyDescent="0.35">
      <c r="A40" s="10">
        <f t="shared" si="3"/>
        <v>30</v>
      </c>
      <c r="B40" s="11"/>
      <c r="C40" s="44"/>
      <c r="D40" s="44"/>
      <c r="E40" s="44"/>
      <c r="F40" s="44"/>
      <c r="G40" s="44"/>
      <c r="H40" s="44"/>
      <c r="I40" s="44"/>
      <c r="J40" s="26"/>
      <c r="K40" s="10">
        <f t="shared" si="4"/>
        <v>30</v>
      </c>
    </row>
    <row r="41" spans="1:11" ht="15.5" x14ac:dyDescent="0.35">
      <c r="A41" s="10">
        <f t="shared" si="3"/>
        <v>31</v>
      </c>
      <c r="B41" s="11" t="s">
        <v>106</v>
      </c>
      <c r="C41" s="44">
        <f>C19*C$28</f>
        <v>-21061.219399999998</v>
      </c>
      <c r="D41" s="44">
        <f t="shared" ref="D41:H41" si="9">D19*D$28</f>
        <v>-28861.165839999994</v>
      </c>
      <c r="E41" s="44">
        <f t="shared" si="9"/>
        <v>-24049.58569</v>
      </c>
      <c r="F41" s="44">
        <f t="shared" si="9"/>
        <v>-24175.28945</v>
      </c>
      <c r="G41" s="44">
        <f t="shared" si="9"/>
        <v>-19160.999</v>
      </c>
      <c r="H41" s="44">
        <f t="shared" si="9"/>
        <v>-19058.012999999999</v>
      </c>
      <c r="I41" s="44">
        <f>SUM('Stmt BH - Page 2'!C41:H41)+SUM('Stmt BH - Page 3'!C41:H41)</f>
        <v>-243666.08083999998</v>
      </c>
      <c r="J41" s="26" t="s">
        <v>151</v>
      </c>
      <c r="K41" s="10">
        <f t="shared" si="4"/>
        <v>31</v>
      </c>
    </row>
    <row r="42" spans="1:11" ht="15.5" x14ac:dyDescent="0.35">
      <c r="A42" s="10">
        <f t="shared" si="3"/>
        <v>32</v>
      </c>
      <c r="B42" s="11"/>
      <c r="C42" s="44"/>
      <c r="D42" s="44"/>
      <c r="E42" s="44"/>
      <c r="F42" s="44"/>
      <c r="G42" s="44"/>
      <c r="H42" s="44"/>
      <c r="I42" s="44"/>
      <c r="J42" s="26"/>
      <c r="K42" s="10">
        <f t="shared" si="4"/>
        <v>32</v>
      </c>
    </row>
    <row r="43" spans="1:11" ht="15.5" x14ac:dyDescent="0.35">
      <c r="A43" s="10">
        <f t="shared" si="3"/>
        <v>33</v>
      </c>
      <c r="B43" s="11" t="s">
        <v>140</v>
      </c>
      <c r="C43" s="51">
        <f>C21*C$28</f>
        <v>-8264.481679999999</v>
      </c>
      <c r="D43" s="51">
        <f t="shared" ref="D43:H43" si="10">D21*D$28</f>
        <v>-6183.4827599999999</v>
      </c>
      <c r="E43" s="51">
        <f t="shared" si="10"/>
        <v>-9416.0497599999999</v>
      </c>
      <c r="F43" s="51">
        <f t="shared" si="10"/>
        <v>-7864.4521799999993</v>
      </c>
      <c r="G43" s="51">
        <f t="shared" si="10"/>
        <v>-8993.3474800000004</v>
      </c>
      <c r="H43" s="51">
        <f t="shared" si="10"/>
        <v>-9594.3474900000001</v>
      </c>
      <c r="I43" s="44">
        <f>SUM('Stmt BH - Page 2'!C43:H43)+SUM('Stmt BH - Page 3'!C43:H43)</f>
        <v>-101827.85561</v>
      </c>
      <c r="J43" s="26" t="s">
        <v>152</v>
      </c>
      <c r="K43" s="10">
        <f t="shared" si="4"/>
        <v>33</v>
      </c>
    </row>
    <row r="44" spans="1:11" ht="15.5" x14ac:dyDescent="0.35">
      <c r="A44" s="10">
        <f t="shared" si="3"/>
        <v>34</v>
      </c>
      <c r="B44" s="11"/>
      <c r="C44" s="138"/>
      <c r="D44" s="138"/>
      <c r="E44" s="138"/>
      <c r="F44" s="138"/>
      <c r="G44" s="138"/>
      <c r="H44" s="138"/>
      <c r="I44" s="138"/>
      <c r="J44" s="26"/>
      <c r="K44" s="10">
        <f t="shared" si="4"/>
        <v>34</v>
      </c>
    </row>
    <row r="45" spans="1:11" ht="16" thickBot="1" x14ac:dyDescent="0.4">
      <c r="A45" s="10">
        <f t="shared" si="3"/>
        <v>35</v>
      </c>
      <c r="B45" s="11" t="s">
        <v>125</v>
      </c>
      <c r="C45" s="395">
        <f>SUM(C33:C43)</f>
        <v>-1931407.9747299999</v>
      </c>
      <c r="D45" s="395">
        <f t="shared" ref="D45:I45" si="11">SUM(D33:D43)</f>
        <v>-2043426.1871400001</v>
      </c>
      <c r="E45" s="395">
        <f t="shared" si="11"/>
        <v>-2231182.5113499998</v>
      </c>
      <c r="F45" s="395">
        <f t="shared" si="11"/>
        <v>-1987285.61681</v>
      </c>
      <c r="G45" s="395">
        <f t="shared" si="11"/>
        <v>-1790689.4993</v>
      </c>
      <c r="H45" s="395">
        <f t="shared" si="11"/>
        <v>-1831265.8007799999</v>
      </c>
      <c r="I45" s="395">
        <f t="shared" si="11"/>
        <v>-22186746.638289995</v>
      </c>
      <c r="J45" s="406" t="s">
        <v>153</v>
      </c>
      <c r="K45" s="10">
        <f t="shared" si="4"/>
        <v>35</v>
      </c>
    </row>
    <row r="46" spans="1:11" ht="16.5" thickTop="1" thickBot="1" x14ac:dyDescent="0.4">
      <c r="A46" s="57"/>
      <c r="B46" s="81"/>
      <c r="C46" s="830"/>
      <c r="D46" s="58"/>
      <c r="E46" s="58"/>
      <c r="F46" s="58"/>
      <c r="G46" s="58"/>
      <c r="H46" s="58"/>
      <c r="I46" s="58"/>
      <c r="J46" s="58"/>
      <c r="K46" s="57"/>
    </row>
    <row r="47" spans="1:11" ht="15.5" x14ac:dyDescent="0.35">
      <c r="A47" s="37"/>
      <c r="B47" s="391"/>
      <c r="C47" s="22"/>
      <c r="D47" s="22"/>
      <c r="E47" s="22"/>
      <c r="F47" s="22"/>
      <c r="G47" s="22"/>
      <c r="H47" s="22"/>
      <c r="I47" s="22"/>
      <c r="J47" s="22"/>
      <c r="K47" s="22"/>
    </row>
    <row r="48" spans="1:11" ht="18.5" x14ac:dyDescent="0.35">
      <c r="A48" s="69"/>
      <c r="B48" s="22"/>
      <c r="C48" s="398"/>
      <c r="D48" s="22"/>
      <c r="E48" s="22"/>
      <c r="F48" s="22"/>
      <c r="G48" s="22"/>
      <c r="H48" s="22"/>
      <c r="I48" s="22"/>
      <c r="J48" s="22"/>
      <c r="K48" s="22"/>
    </row>
    <row r="49" spans="1:11" ht="15.5" x14ac:dyDescent="0.35">
      <c r="A49" s="831"/>
      <c r="B49" s="22"/>
      <c r="D49" s="22"/>
      <c r="E49" s="22"/>
      <c r="F49" s="22"/>
      <c r="G49" s="22"/>
      <c r="H49" s="22"/>
      <c r="I49" s="22"/>
      <c r="J49" s="22"/>
      <c r="K49" s="22"/>
    </row>
    <row r="50" spans="1:11" ht="15.5" x14ac:dyDescent="0.35">
      <c r="A50" s="831"/>
      <c r="B50" s="22"/>
      <c r="C50" s="832"/>
      <c r="D50" s="22"/>
      <c r="E50" s="22"/>
      <c r="F50" s="22"/>
      <c r="G50" s="22"/>
      <c r="H50" s="22"/>
      <c r="I50" s="22"/>
      <c r="J50" s="22"/>
      <c r="K50" s="22"/>
    </row>
    <row r="51" spans="1:11" ht="15.5" x14ac:dyDescent="0.35">
      <c r="A51" s="831"/>
      <c r="D51" s="22"/>
      <c r="E51" s="22"/>
      <c r="F51" s="22"/>
      <c r="G51" s="22"/>
      <c r="H51" s="22"/>
      <c r="I51" s="22"/>
      <c r="J51" s="22"/>
      <c r="K51" s="22"/>
    </row>
    <row r="52" spans="1:11" ht="15.5" x14ac:dyDescent="0.35">
      <c r="A52" s="37"/>
      <c r="B52" s="22"/>
      <c r="C52" s="22"/>
      <c r="D52" s="22"/>
      <c r="E52" s="22"/>
      <c r="F52" s="22"/>
      <c r="G52" s="22"/>
      <c r="H52" s="22"/>
      <c r="I52" s="22"/>
      <c r="J52" s="22"/>
      <c r="K52" s="22"/>
    </row>
    <row r="53" spans="1:11" ht="15.5" x14ac:dyDescent="0.35">
      <c r="A53" s="37"/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 ht="15.5" x14ac:dyDescent="0.35">
      <c r="A54" s="37"/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1" ht="15.5" x14ac:dyDescent="0.35">
      <c r="A55" s="37"/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1" ht="15.5" x14ac:dyDescent="0.35">
      <c r="A56" s="37"/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1" ht="15.5" x14ac:dyDescent="0.35">
      <c r="A57" s="37"/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1" ht="15.5" x14ac:dyDescent="0.35">
      <c r="A58" s="37"/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1" ht="15.5" x14ac:dyDescent="0.35">
      <c r="A59" s="37"/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15.5" x14ac:dyDescent="0.35">
      <c r="A60" s="37"/>
      <c r="B60" s="22"/>
      <c r="C60" s="22"/>
      <c r="D60" s="22"/>
      <c r="E60" s="22"/>
      <c r="F60" s="22"/>
      <c r="G60" s="22"/>
      <c r="H60" s="22"/>
      <c r="I60" s="22"/>
      <c r="J60" s="22"/>
      <c r="K60" s="22"/>
    </row>
    <row r="61" spans="1:11" ht="15.5" x14ac:dyDescent="0.35">
      <c r="A61" s="37"/>
      <c r="B61" s="22"/>
      <c r="C61" s="22"/>
      <c r="D61" s="22"/>
      <c r="E61" s="22"/>
      <c r="F61" s="22"/>
      <c r="G61" s="22"/>
      <c r="H61" s="22"/>
      <c r="I61" s="22"/>
      <c r="J61" s="22"/>
      <c r="K61" s="22"/>
    </row>
    <row r="62" spans="1:11" ht="15.5" x14ac:dyDescent="0.35">
      <c r="A62" s="37"/>
      <c r="B62" s="22"/>
      <c r="C62" s="22"/>
      <c r="D62" s="22"/>
      <c r="E62" s="22"/>
      <c r="F62" s="22"/>
      <c r="G62" s="22"/>
      <c r="H62" s="22"/>
      <c r="I62" s="22"/>
      <c r="J62" s="22"/>
      <c r="K62" s="22"/>
    </row>
    <row r="63" spans="1:11" ht="15.5" x14ac:dyDescent="0.35">
      <c r="A63" s="37"/>
      <c r="B63" s="22"/>
      <c r="C63" s="22"/>
      <c r="D63" s="22"/>
      <c r="E63" s="22"/>
      <c r="F63" s="22"/>
      <c r="G63" s="22"/>
      <c r="H63" s="22"/>
      <c r="I63" s="22"/>
      <c r="J63" s="22"/>
      <c r="K63" s="22"/>
    </row>
    <row r="64" spans="1:11" ht="15.5" x14ac:dyDescent="0.35">
      <c r="A64" s="37"/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 ht="15.5" x14ac:dyDescent="0.35">
      <c r="A65" s="37"/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ht="15.5" x14ac:dyDescent="0.35">
      <c r="A66" s="37"/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ht="15.5" x14ac:dyDescent="0.35">
      <c r="A67" s="37"/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ht="15.5" x14ac:dyDescent="0.35">
      <c r="A68" s="37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ht="15.5" x14ac:dyDescent="0.35">
      <c r="A69" s="37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ht="15.5" x14ac:dyDescent="0.35">
      <c r="A70" s="37"/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 ht="15.5" x14ac:dyDescent="0.35">
      <c r="A71" s="37"/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1" ht="15.5" x14ac:dyDescent="0.35">
      <c r="A72" s="37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ht="15.5" x14ac:dyDescent="0.35">
      <c r="A73" s="37"/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1" ht="15.5" x14ac:dyDescent="0.35">
      <c r="A74" s="37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ht="15.5" x14ac:dyDescent="0.35">
      <c r="A75" s="37"/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1" ht="15.5" x14ac:dyDescent="0.35">
      <c r="A76" s="37"/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1" ht="15.5" x14ac:dyDescent="0.35">
      <c r="A77" s="37"/>
      <c r="B77" s="22"/>
      <c r="C77" s="22"/>
      <c r="D77" s="22"/>
      <c r="E77" s="22"/>
      <c r="F77" s="22"/>
      <c r="G77" s="22"/>
      <c r="H77" s="22"/>
      <c r="I77" s="22"/>
      <c r="J77" s="22"/>
      <c r="K77" s="22"/>
    </row>
    <row r="78" spans="1:11" ht="15.5" x14ac:dyDescent="0.35">
      <c r="A78" s="37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 ht="15.5" x14ac:dyDescent="0.35">
      <c r="A79" s="37"/>
      <c r="B79" s="22"/>
      <c r="C79" s="22"/>
      <c r="D79" s="22"/>
      <c r="E79" s="22"/>
      <c r="F79" s="22"/>
      <c r="G79" s="22"/>
      <c r="H79" s="22"/>
      <c r="I79" s="22"/>
      <c r="J79" s="22"/>
      <c r="K79" s="22"/>
    </row>
    <row r="80" spans="1:11" ht="15.5" x14ac:dyDescent="0.35">
      <c r="A80" s="37"/>
      <c r="B80" s="22"/>
      <c r="C80" s="22"/>
      <c r="D80" s="22"/>
      <c r="E80" s="22"/>
      <c r="F80" s="22"/>
      <c r="G80" s="22"/>
      <c r="H80" s="22"/>
      <c r="I80" s="22"/>
      <c r="J80" s="22"/>
      <c r="K80" s="22"/>
    </row>
    <row r="81" spans="1:11" ht="15.5" x14ac:dyDescent="0.35">
      <c r="A81" s="37"/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 ht="15.5" x14ac:dyDescent="0.35">
      <c r="A82" s="37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spans="1:11" ht="15.5" x14ac:dyDescent="0.35">
      <c r="A83" s="37"/>
      <c r="B83" s="22"/>
      <c r="C83" s="22"/>
      <c r="D83" s="22"/>
      <c r="E83" s="22"/>
      <c r="F83" s="22"/>
      <c r="G83" s="22"/>
      <c r="H83" s="22"/>
      <c r="I83" s="22"/>
      <c r="J83" s="22"/>
      <c r="K83" s="22"/>
    </row>
    <row r="84" spans="1:11" ht="15.5" x14ac:dyDescent="0.35">
      <c r="A84" s="37"/>
      <c r="B84" s="22"/>
      <c r="C84" s="22"/>
      <c r="D84" s="22"/>
      <c r="E84" s="22"/>
      <c r="F84" s="22"/>
      <c r="G84" s="22"/>
      <c r="H84" s="22"/>
      <c r="I84" s="22"/>
      <c r="J84" s="22"/>
      <c r="K84" s="22"/>
    </row>
    <row r="85" spans="1:11" ht="15.5" x14ac:dyDescent="0.35">
      <c r="A85" s="37"/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1:11" ht="15.5" x14ac:dyDescent="0.35">
      <c r="A86" s="37"/>
      <c r="B86" s="22"/>
      <c r="C86" s="22"/>
      <c r="D86" s="22"/>
      <c r="E86" s="22"/>
      <c r="F86" s="22"/>
      <c r="G86" s="22"/>
      <c r="H86" s="22"/>
      <c r="I86" s="22"/>
      <c r="J86" s="22"/>
      <c r="K86" s="22"/>
    </row>
    <row r="87" spans="1:11" ht="15.5" x14ac:dyDescent="0.35">
      <c r="A87" s="37"/>
      <c r="B87" s="22"/>
      <c r="C87" s="22"/>
      <c r="D87" s="22"/>
      <c r="E87" s="22"/>
      <c r="F87" s="22"/>
      <c r="G87" s="22"/>
      <c r="H87" s="22"/>
      <c r="I87" s="22"/>
      <c r="J87" s="22"/>
      <c r="K87" s="22"/>
    </row>
    <row r="88" spans="1:11" ht="15.5" x14ac:dyDescent="0.35">
      <c r="A88" s="37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 ht="15.5" x14ac:dyDescent="0.35">
      <c r="A89" s="37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 ht="15.5" x14ac:dyDescent="0.35">
      <c r="A90" s="37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 ht="15.5" x14ac:dyDescent="0.35">
      <c r="A91" s="37"/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ht="15.5" x14ac:dyDescent="0.35">
      <c r="A92" s="37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ht="15.5" x14ac:dyDescent="0.35">
      <c r="A93" s="37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 ht="15.5" x14ac:dyDescent="0.35">
      <c r="A94" s="37"/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 ht="15.5" x14ac:dyDescent="0.35">
      <c r="A95" s="37"/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1" ht="15.5" x14ac:dyDescent="0.35">
      <c r="A96" s="37"/>
      <c r="B96" s="22"/>
      <c r="C96" s="22"/>
      <c r="D96" s="22"/>
      <c r="E96" s="22"/>
      <c r="F96" s="22"/>
      <c r="G96" s="22"/>
      <c r="H96" s="22"/>
      <c r="I96" s="22"/>
      <c r="J96" s="22"/>
      <c r="K96" s="22"/>
    </row>
    <row r="97" spans="1:11" ht="15.5" x14ac:dyDescent="0.35">
      <c r="A97" s="37"/>
      <c r="B97" s="22"/>
      <c r="C97" s="22"/>
      <c r="D97" s="22"/>
      <c r="E97" s="22"/>
      <c r="F97" s="22"/>
      <c r="G97" s="22"/>
      <c r="H97" s="22"/>
      <c r="I97" s="22"/>
      <c r="J97" s="22"/>
      <c r="K97" s="22"/>
    </row>
    <row r="98" spans="1:11" ht="15.5" x14ac:dyDescent="0.35">
      <c r="A98" s="37"/>
      <c r="B98" s="22"/>
      <c r="C98" s="22"/>
      <c r="D98" s="22"/>
      <c r="E98" s="22"/>
      <c r="F98" s="22"/>
      <c r="G98" s="22"/>
      <c r="H98" s="22"/>
      <c r="I98" s="22"/>
      <c r="J98" s="22"/>
      <c r="K98" s="22"/>
    </row>
    <row r="99" spans="1:11" ht="15.5" x14ac:dyDescent="0.35">
      <c r="A99" s="37"/>
      <c r="B99" s="22"/>
      <c r="C99" s="22"/>
      <c r="D99" s="22"/>
      <c r="E99" s="22"/>
      <c r="F99" s="22"/>
      <c r="G99" s="22"/>
      <c r="H99" s="22"/>
      <c r="I99" s="22"/>
      <c r="J99" s="22"/>
      <c r="K99" s="22"/>
    </row>
    <row r="100" spans="1:11" ht="15.5" x14ac:dyDescent="0.35">
      <c r="A100" s="37"/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1:11" ht="15.5" x14ac:dyDescent="0.35">
      <c r="A101" s="37"/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1" ht="15.5" x14ac:dyDescent="0.35">
      <c r="A102" s="37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 ht="15.5" x14ac:dyDescent="0.35">
      <c r="A103" s="37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1" ht="15.5" x14ac:dyDescent="0.35">
      <c r="A104" s="37"/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1" ht="15.5" x14ac:dyDescent="0.35">
      <c r="A105" s="37"/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1" ht="15.5" x14ac:dyDescent="0.35">
      <c r="A106" s="37"/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1" ht="15.5" x14ac:dyDescent="0.35">
      <c r="A107" s="37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  <row r="108" spans="1:11" ht="15.5" x14ac:dyDescent="0.35">
      <c r="A108" s="37"/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spans="1:11" ht="15.5" x14ac:dyDescent="0.35">
      <c r="A109" s="37"/>
      <c r="B109" s="22"/>
      <c r="C109" s="22"/>
      <c r="D109" s="22"/>
      <c r="E109" s="22"/>
      <c r="F109" s="22"/>
      <c r="G109" s="22"/>
      <c r="H109" s="22"/>
      <c r="I109" s="22"/>
      <c r="J109" s="22"/>
      <c r="K109" s="22"/>
    </row>
    <row r="110" spans="1:11" ht="15.5" x14ac:dyDescent="0.35">
      <c r="A110" s="37"/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1:11" ht="15.5" x14ac:dyDescent="0.35">
      <c r="A111" s="37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1:11" x14ac:dyDescent="0.25">
      <c r="A112" s="831"/>
    </row>
    <row r="113" spans="1:1" x14ac:dyDescent="0.25">
      <c r="A113" s="831"/>
    </row>
    <row r="114" spans="1:1" x14ac:dyDescent="0.25">
      <c r="A114" s="831"/>
    </row>
    <row r="115" spans="1:1" x14ac:dyDescent="0.25">
      <c r="A115" s="831"/>
    </row>
    <row r="116" spans="1:1" x14ac:dyDescent="0.25">
      <c r="A116" s="831"/>
    </row>
    <row r="117" spans="1:1" x14ac:dyDescent="0.25">
      <c r="A117" s="831"/>
    </row>
    <row r="118" spans="1:1" x14ac:dyDescent="0.25">
      <c r="A118" s="831"/>
    </row>
    <row r="119" spans="1:1" x14ac:dyDescent="0.25">
      <c r="A119" s="831"/>
    </row>
    <row r="120" spans="1:1" x14ac:dyDescent="0.25">
      <c r="A120" s="831"/>
    </row>
    <row r="121" spans="1:1" x14ac:dyDescent="0.25">
      <c r="A121" s="831"/>
    </row>
    <row r="122" spans="1:1" x14ac:dyDescent="0.25">
      <c r="A122" s="831"/>
    </row>
  </sheetData>
  <mergeCells count="1">
    <mergeCell ref="A4:K4"/>
  </mergeCells>
  <printOptions horizontalCentered="1"/>
  <pageMargins left="0.25" right="0.25" top="0.5" bottom="0.5" header="0.25" footer="0.25"/>
  <pageSetup scale="65" orientation="landscape" r:id="rId1"/>
  <headerFooter alignWithMargins="0">
    <oddFooter>&amp;L&amp;"Times New Roman,Regular"&amp;12&amp;F&amp;C&amp;"Times New Roman,Regular"&amp;12Page 3 of 3&amp;R&amp;"Times New Roman,Regular"&amp;12&amp;A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E34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55.54296875" style="2" customWidth="1"/>
    <col min="3" max="3" width="20.54296875" style="2" customWidth="1"/>
    <col min="4" max="4" width="40.54296875" style="1" customWidth="1"/>
    <col min="5" max="5" width="5.54296875" style="1" customWidth="1"/>
    <col min="6" max="7" width="15.54296875" style="1" customWidth="1"/>
    <col min="8" max="16384" width="8.54296875" style="1"/>
  </cols>
  <sheetData>
    <row r="2" spans="1:5" ht="15" x14ac:dyDescent="0.3">
      <c r="B2" s="5" t="s">
        <v>172</v>
      </c>
      <c r="C2" s="5"/>
      <c r="D2" s="6"/>
    </row>
    <row r="3" spans="1:5" ht="15" x14ac:dyDescent="0.3">
      <c r="B3" s="5" t="s">
        <v>1</v>
      </c>
      <c r="C3" s="5"/>
      <c r="D3" s="6"/>
    </row>
    <row r="4" spans="1:5" ht="15" x14ac:dyDescent="0.3">
      <c r="B4" s="5" t="str">
        <f>'Stmnt BD - Recorded KWH'!A4</f>
        <v>2023 - TRBAA Rate Filing</v>
      </c>
      <c r="C4" s="5"/>
      <c r="D4" s="6"/>
    </row>
    <row r="5" spans="1:5" ht="18.649999999999999" customHeight="1" x14ac:dyDescent="0.3">
      <c r="B5" s="5" t="s">
        <v>173</v>
      </c>
      <c r="C5" s="5"/>
      <c r="D5" s="6"/>
    </row>
    <row r="6" spans="1:5" ht="15.5" thickBot="1" x14ac:dyDescent="0.35">
      <c r="A6" s="55"/>
      <c r="B6" s="581"/>
      <c r="C6" s="581"/>
      <c r="D6" s="582"/>
      <c r="E6" s="55"/>
    </row>
    <row r="7" spans="1:5" ht="15.5" x14ac:dyDescent="0.35">
      <c r="A7" s="551" t="s">
        <v>8</v>
      </c>
      <c r="B7" s="75"/>
      <c r="C7" s="578" t="s">
        <v>18</v>
      </c>
      <c r="D7" s="33"/>
      <c r="E7" s="552" t="s">
        <v>8</v>
      </c>
    </row>
    <row r="8" spans="1:5" ht="15.5" thickBot="1" x14ac:dyDescent="0.35">
      <c r="A8" s="569" t="s">
        <v>11</v>
      </c>
      <c r="B8" s="153" t="s">
        <v>174</v>
      </c>
      <c r="C8" s="583" t="s">
        <v>175</v>
      </c>
      <c r="D8" s="584" t="s">
        <v>16</v>
      </c>
      <c r="E8" s="570" t="s">
        <v>11</v>
      </c>
    </row>
    <row r="9" spans="1:5" ht="15.5" x14ac:dyDescent="0.35">
      <c r="A9" s="333"/>
      <c r="B9" s="11"/>
      <c r="C9" s="829"/>
      <c r="D9" s="91"/>
      <c r="E9" s="349"/>
    </row>
    <row r="10" spans="1:5" ht="15.5" x14ac:dyDescent="0.35">
      <c r="A10" s="263">
        <v>1</v>
      </c>
      <c r="B10" s="18" t="s">
        <v>498</v>
      </c>
      <c r="C10" s="440">
        <f>'WP 4 Monthly TRBAA '!O38</f>
        <v>-11932441.577928549</v>
      </c>
      <c r="D10" s="61" t="s">
        <v>176</v>
      </c>
      <c r="E10" s="264">
        <v>1</v>
      </c>
    </row>
    <row r="11" spans="1:5" ht="15.5" x14ac:dyDescent="0.35">
      <c r="A11" s="263">
        <f>A10+1</f>
        <v>2</v>
      </c>
      <c r="B11" s="17"/>
      <c r="C11" s="91"/>
      <c r="D11" s="33"/>
      <c r="E11" s="264">
        <f>E10+1</f>
        <v>2</v>
      </c>
    </row>
    <row r="12" spans="1:5" ht="15.5" x14ac:dyDescent="0.35">
      <c r="A12" s="263">
        <f t="shared" ref="A12:A32" si="0">A11+1</f>
        <v>3</v>
      </c>
      <c r="B12" s="20" t="s">
        <v>177</v>
      </c>
      <c r="C12" s="237"/>
      <c r="D12" s="61"/>
      <c r="E12" s="264">
        <f t="shared" ref="E12:E32" si="1">E11+1</f>
        <v>3</v>
      </c>
    </row>
    <row r="13" spans="1:5" ht="15.5" x14ac:dyDescent="0.35">
      <c r="A13" s="263">
        <f t="shared" si="0"/>
        <v>4</v>
      </c>
      <c r="B13" s="17"/>
      <c r="C13" s="442"/>
      <c r="D13" s="33"/>
      <c r="E13" s="264">
        <f t="shared" si="1"/>
        <v>4</v>
      </c>
    </row>
    <row r="14" spans="1:5" ht="15.5" x14ac:dyDescent="0.35">
      <c r="A14" s="263">
        <f t="shared" si="0"/>
        <v>5</v>
      </c>
      <c r="B14" s="18" t="s">
        <v>178</v>
      </c>
      <c r="C14" s="238">
        <f>'WP 7 Wheeling Revenues'!E37</f>
        <v>-29346878.879999995</v>
      </c>
      <c r="D14" s="61" t="s">
        <v>179</v>
      </c>
      <c r="E14" s="264">
        <f t="shared" si="1"/>
        <v>5</v>
      </c>
    </row>
    <row r="15" spans="1:5" ht="15.5" x14ac:dyDescent="0.35">
      <c r="A15" s="263">
        <f t="shared" si="0"/>
        <v>6</v>
      </c>
      <c r="B15" s="17"/>
      <c r="C15" s="826"/>
      <c r="D15" s="33"/>
      <c r="E15" s="264">
        <f t="shared" si="1"/>
        <v>6</v>
      </c>
    </row>
    <row r="16" spans="1:5" ht="15.5" x14ac:dyDescent="0.35">
      <c r="A16" s="263">
        <f t="shared" si="0"/>
        <v>7</v>
      </c>
      <c r="B16" s="18" t="s">
        <v>180</v>
      </c>
      <c r="C16" s="238">
        <f>'WP 8 CT4575'!C34</f>
        <v>18000</v>
      </c>
      <c r="D16" s="61" t="s">
        <v>181</v>
      </c>
      <c r="E16" s="264">
        <f t="shared" si="1"/>
        <v>7</v>
      </c>
    </row>
    <row r="17" spans="1:5" ht="15.5" x14ac:dyDescent="0.35">
      <c r="A17" s="263">
        <f t="shared" si="0"/>
        <v>8</v>
      </c>
      <c r="B17" s="17"/>
      <c r="C17" s="826"/>
      <c r="D17" s="33"/>
      <c r="E17" s="264">
        <f t="shared" si="1"/>
        <v>8</v>
      </c>
    </row>
    <row r="18" spans="1:5" ht="15.5" x14ac:dyDescent="0.35">
      <c r="A18" s="263">
        <f t="shared" si="0"/>
        <v>9</v>
      </c>
      <c r="B18" s="18" t="s">
        <v>182</v>
      </c>
      <c r="C18" s="238">
        <f>'WP 9 ETC Cost Diffs'!C34</f>
        <v>-691052.6399999999</v>
      </c>
      <c r="D18" s="61" t="s">
        <v>183</v>
      </c>
      <c r="E18" s="264">
        <f t="shared" si="1"/>
        <v>9</v>
      </c>
    </row>
    <row r="19" spans="1:5" ht="15.5" x14ac:dyDescent="0.35">
      <c r="A19" s="263">
        <f t="shared" si="0"/>
        <v>10</v>
      </c>
      <c r="B19" s="17"/>
      <c r="C19" s="826"/>
      <c r="D19" s="33"/>
      <c r="E19" s="264">
        <f t="shared" si="1"/>
        <v>10</v>
      </c>
    </row>
    <row r="20" spans="1:5" ht="15.5" x14ac:dyDescent="0.35">
      <c r="A20" s="263">
        <f t="shared" si="0"/>
        <v>11</v>
      </c>
      <c r="B20" s="18" t="s">
        <v>184</v>
      </c>
      <c r="C20" s="441">
        <f>'WP 11 Other PTO Forecast'!C34</f>
        <v>-484460.2099999999</v>
      </c>
      <c r="D20" s="61" t="s">
        <v>185</v>
      </c>
      <c r="E20" s="264">
        <f t="shared" si="1"/>
        <v>11</v>
      </c>
    </row>
    <row r="21" spans="1:5" ht="15.5" x14ac:dyDescent="0.35">
      <c r="A21" s="263">
        <f t="shared" si="0"/>
        <v>12</v>
      </c>
      <c r="B21" s="17"/>
      <c r="C21" s="239"/>
      <c r="D21" s="33"/>
      <c r="E21" s="264">
        <f t="shared" si="1"/>
        <v>12</v>
      </c>
    </row>
    <row r="22" spans="1:5" ht="15.5" x14ac:dyDescent="0.35">
      <c r="A22" s="263">
        <f t="shared" si="0"/>
        <v>13</v>
      </c>
      <c r="B22" s="478" t="s">
        <v>186</v>
      </c>
      <c r="C22" s="255">
        <f>SUM(C14:C20)</f>
        <v>-30504391.729999997</v>
      </c>
      <c r="D22" s="61" t="s">
        <v>187</v>
      </c>
      <c r="E22" s="264">
        <f t="shared" si="1"/>
        <v>13</v>
      </c>
    </row>
    <row r="23" spans="1:5" ht="15.5" x14ac:dyDescent="0.35">
      <c r="A23" s="263">
        <f t="shared" si="0"/>
        <v>14</v>
      </c>
      <c r="B23" s="18"/>
      <c r="C23" s="239"/>
      <c r="D23" s="61"/>
      <c r="E23" s="264">
        <f t="shared" si="1"/>
        <v>14</v>
      </c>
    </row>
    <row r="24" spans="1:5" ht="15.5" x14ac:dyDescent="0.35">
      <c r="A24" s="263">
        <f t="shared" si="0"/>
        <v>15</v>
      </c>
      <c r="B24" s="11" t="s">
        <v>188</v>
      </c>
      <c r="C24" s="255">
        <f>C10+C22-1</f>
        <v>-42436834.307928547</v>
      </c>
      <c r="D24" s="61" t="s">
        <v>189</v>
      </c>
      <c r="E24" s="264">
        <f t="shared" si="1"/>
        <v>15</v>
      </c>
    </row>
    <row r="25" spans="1:5" ht="15.5" x14ac:dyDescent="0.35">
      <c r="A25" s="263">
        <f t="shared" si="0"/>
        <v>16</v>
      </c>
      <c r="B25" s="11"/>
      <c r="C25" s="239"/>
      <c r="D25" s="62"/>
      <c r="E25" s="264">
        <f t="shared" si="1"/>
        <v>16</v>
      </c>
    </row>
    <row r="26" spans="1:5" ht="15.5" x14ac:dyDescent="0.35">
      <c r="A26" s="263">
        <f t="shared" si="0"/>
        <v>17</v>
      </c>
      <c r="B26" s="11" t="s">
        <v>190</v>
      </c>
      <c r="C26" s="239">
        <f>C24*0.010275</f>
        <v>-436038.4725139658</v>
      </c>
      <c r="D26" s="61" t="s">
        <v>191</v>
      </c>
      <c r="E26" s="264">
        <f t="shared" si="1"/>
        <v>17</v>
      </c>
    </row>
    <row r="27" spans="1:5" ht="15.5" x14ac:dyDescent="0.35">
      <c r="A27" s="263">
        <f t="shared" si="0"/>
        <v>18</v>
      </c>
      <c r="B27" s="11"/>
      <c r="C27" s="239"/>
      <c r="D27" s="62"/>
      <c r="E27" s="264">
        <f t="shared" si="1"/>
        <v>18</v>
      </c>
    </row>
    <row r="28" spans="1:5" ht="15.5" x14ac:dyDescent="0.35">
      <c r="A28" s="263">
        <f t="shared" si="0"/>
        <v>19</v>
      </c>
      <c r="B28" s="11" t="s">
        <v>525</v>
      </c>
      <c r="C28" s="253">
        <f>C24*0.00173</f>
        <v>-73415.723352716392</v>
      </c>
      <c r="D28" s="61" t="s">
        <v>526</v>
      </c>
      <c r="E28" s="264">
        <f t="shared" si="1"/>
        <v>19</v>
      </c>
    </row>
    <row r="29" spans="1:5" ht="15.5" x14ac:dyDescent="0.35">
      <c r="A29" s="263">
        <f t="shared" si="0"/>
        <v>20</v>
      </c>
      <c r="B29" s="11"/>
      <c r="C29" s="239"/>
      <c r="D29" s="62"/>
      <c r="E29" s="264">
        <f t="shared" si="1"/>
        <v>20</v>
      </c>
    </row>
    <row r="30" spans="1:5" ht="15.5" x14ac:dyDescent="0.35">
      <c r="A30" s="263">
        <f t="shared" si="0"/>
        <v>21</v>
      </c>
      <c r="B30" s="11" t="s">
        <v>192</v>
      </c>
      <c r="C30" s="253">
        <f>SUM(C26:C28)</f>
        <v>-509454.19586668222</v>
      </c>
      <c r="D30" s="61" t="s">
        <v>193</v>
      </c>
      <c r="E30" s="264">
        <f t="shared" si="1"/>
        <v>21</v>
      </c>
    </row>
    <row r="31" spans="1:5" ht="15.5" x14ac:dyDescent="0.35">
      <c r="A31" s="263">
        <f t="shared" si="0"/>
        <v>22</v>
      </c>
      <c r="B31" s="11"/>
      <c r="C31" s="239"/>
      <c r="D31" s="62"/>
      <c r="E31" s="264">
        <f t="shared" si="1"/>
        <v>22</v>
      </c>
    </row>
    <row r="32" spans="1:5" ht="16" thickBot="1" x14ac:dyDescent="0.4">
      <c r="A32" s="263">
        <f t="shared" si="0"/>
        <v>23</v>
      </c>
      <c r="B32" s="11" t="s">
        <v>194</v>
      </c>
      <c r="C32" s="415">
        <f>C24+C30+1</f>
        <v>-42946287.503795229</v>
      </c>
      <c r="D32" s="61" t="s">
        <v>195</v>
      </c>
      <c r="E32" s="264">
        <f t="shared" si="1"/>
        <v>23</v>
      </c>
    </row>
    <row r="33" spans="1:5" ht="16.5" thickTop="1" thickBot="1" x14ac:dyDescent="0.4">
      <c r="A33" s="576"/>
      <c r="B33" s="81"/>
      <c r="C33" s="556"/>
      <c r="D33" s="577"/>
      <c r="E33" s="407"/>
    </row>
    <row r="34" spans="1:5" ht="15.5" x14ac:dyDescent="0.35">
      <c r="A34" s="22"/>
      <c r="B34" s="22"/>
      <c r="C34" s="22"/>
      <c r="D34" s="37"/>
      <c r="E34" s="22"/>
    </row>
  </sheetData>
  <phoneticPr fontId="15" type="noConversion"/>
  <printOptions horizontalCentered="1"/>
  <pageMargins left="0.25" right="0.25" top="0.5" bottom="0.5" header="0.25" footer="0.25"/>
  <pageSetup orientation="landscape" r:id="rId1"/>
  <headerFooter alignWithMargins="0">
    <oddFooter>&amp;L&amp;"Times New Roman,Regular"&amp;12&amp;F&amp;C&amp;"Times New Roman,Regular"&amp;12Page 1&amp;R&amp;"Times New Roman,Regular"&amp;12&amp;A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G89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55.54296875" style="2" customWidth="1"/>
    <col min="3" max="4" width="22.54296875" style="1" bestFit="1" customWidth="1"/>
    <col min="5" max="5" width="20.54296875" style="1" customWidth="1"/>
    <col min="6" max="6" width="50.54296875" style="1" customWidth="1"/>
    <col min="7" max="7" width="5.54296875" style="1" customWidth="1"/>
    <col min="8" max="9" width="15.54296875" style="1" customWidth="1"/>
    <col min="10" max="16384" width="8.54296875" style="1"/>
  </cols>
  <sheetData>
    <row r="2" spans="1:7" ht="15" x14ac:dyDescent="0.3">
      <c r="B2" s="5" t="s">
        <v>196</v>
      </c>
      <c r="C2" s="6"/>
      <c r="D2" s="6"/>
      <c r="E2" s="6"/>
      <c r="F2" s="6"/>
    </row>
    <row r="3" spans="1:7" ht="15" x14ac:dyDescent="0.3">
      <c r="B3" s="5" t="s">
        <v>1</v>
      </c>
      <c r="C3" s="6"/>
      <c r="D3" s="6"/>
      <c r="E3" s="6"/>
      <c r="F3" s="6"/>
    </row>
    <row r="4" spans="1:7" ht="15" x14ac:dyDescent="0.3">
      <c r="B4" s="5" t="str">
        <f>'Stmnt BK1 - TRBAA'!B4</f>
        <v>2023 - TRBAA Rate Filing</v>
      </c>
      <c r="C4" s="6"/>
      <c r="D4" s="6"/>
      <c r="E4" s="6"/>
      <c r="F4" s="6"/>
    </row>
    <row r="5" spans="1:7" ht="15" x14ac:dyDescent="0.3">
      <c r="B5" s="5" t="s">
        <v>197</v>
      </c>
      <c r="C5" s="6"/>
      <c r="D5" s="6"/>
      <c r="E5" s="6"/>
      <c r="F5" s="6"/>
    </row>
    <row r="6" spans="1:7" ht="15.5" thickBot="1" x14ac:dyDescent="0.35">
      <c r="B6" s="5"/>
      <c r="C6" s="6"/>
      <c r="D6" s="6"/>
      <c r="E6" s="6"/>
      <c r="F6" s="6"/>
    </row>
    <row r="7" spans="1:7" ht="15" x14ac:dyDescent="0.3">
      <c r="A7" s="287"/>
      <c r="B7" s="589"/>
      <c r="C7" s="590" t="s">
        <v>3</v>
      </c>
      <c r="D7" s="591" t="s">
        <v>4</v>
      </c>
      <c r="E7" s="591" t="s">
        <v>198</v>
      </c>
      <c r="F7" s="592"/>
      <c r="G7" s="548"/>
    </row>
    <row r="8" spans="1:7" ht="15.5" x14ac:dyDescent="0.35">
      <c r="A8" s="549"/>
      <c r="B8" s="74"/>
      <c r="C8" s="578" t="s">
        <v>18</v>
      </c>
      <c r="D8" s="75" t="s">
        <v>18</v>
      </c>
      <c r="E8" s="75" t="s">
        <v>18</v>
      </c>
      <c r="F8" s="33"/>
      <c r="G8" s="550"/>
    </row>
    <row r="9" spans="1:7" ht="21.75" customHeight="1" x14ac:dyDescent="0.35">
      <c r="A9" s="551"/>
      <c r="B9" s="74"/>
      <c r="C9" s="585" t="s">
        <v>199</v>
      </c>
      <c r="D9" s="586" t="s">
        <v>200</v>
      </c>
      <c r="E9" s="586" t="s">
        <v>201</v>
      </c>
      <c r="F9" s="33"/>
      <c r="G9" s="552"/>
    </row>
    <row r="10" spans="1:7" ht="15.5" x14ac:dyDescent="0.35">
      <c r="A10" s="551" t="s">
        <v>8</v>
      </c>
      <c r="B10" s="75"/>
      <c r="C10" s="579" t="s">
        <v>202</v>
      </c>
      <c r="D10" s="587" t="s">
        <v>202</v>
      </c>
      <c r="E10" s="587" t="s">
        <v>203</v>
      </c>
      <c r="F10" s="33"/>
      <c r="G10" s="552" t="s">
        <v>8</v>
      </c>
    </row>
    <row r="11" spans="1:7" ht="15.5" thickBot="1" x14ac:dyDescent="0.35">
      <c r="A11" s="569" t="s">
        <v>11</v>
      </c>
      <c r="B11" s="153" t="s">
        <v>174</v>
      </c>
      <c r="C11" s="584" t="s">
        <v>204</v>
      </c>
      <c r="D11" s="593" t="s">
        <v>204</v>
      </c>
      <c r="E11" s="593" t="s">
        <v>204</v>
      </c>
      <c r="F11" s="584" t="s">
        <v>16</v>
      </c>
      <c r="G11" s="570" t="s">
        <v>11</v>
      </c>
    </row>
    <row r="12" spans="1:7" ht="15.5" x14ac:dyDescent="0.35">
      <c r="A12" s="333"/>
      <c r="B12" s="11"/>
      <c r="C12" s="826"/>
      <c r="D12" s="17"/>
      <c r="E12" s="17"/>
      <c r="F12" s="91"/>
      <c r="G12" s="349"/>
    </row>
    <row r="13" spans="1:7" ht="18.5" x14ac:dyDescent="0.35">
      <c r="A13" s="263">
        <v>1</v>
      </c>
      <c r="B13" s="11" t="s">
        <v>205</v>
      </c>
      <c r="C13" s="260">
        <v>602609105</v>
      </c>
      <c r="D13" s="103">
        <v>587290021</v>
      </c>
      <c r="E13" s="103">
        <f>C13+D13</f>
        <v>1189899126</v>
      </c>
      <c r="F13" s="61" t="s">
        <v>206</v>
      </c>
      <c r="G13" s="264">
        <v>1</v>
      </c>
    </row>
    <row r="14" spans="1:7" ht="15.5" x14ac:dyDescent="0.35">
      <c r="A14" s="263">
        <f>A13+1</f>
        <v>2</v>
      </c>
      <c r="B14" s="11"/>
      <c r="C14" s="827"/>
      <c r="D14" s="16"/>
      <c r="E14" s="16"/>
      <c r="F14" s="33"/>
      <c r="G14" s="264">
        <f>G13+1</f>
        <v>2</v>
      </c>
    </row>
    <row r="15" spans="1:7" ht="15.5" x14ac:dyDescent="0.35">
      <c r="A15" s="263">
        <f t="shared" ref="A15:A37" si="0">A14+1</f>
        <v>3</v>
      </c>
      <c r="B15" s="18" t="str">
        <f>'Stmnt BK1 - TRBAA'!B10</f>
        <v>Beginning TRBAA Balance @ 9/30/2022</v>
      </c>
      <c r="C15" s="253">
        <f>'WP 2 Allocation of TRBAA'!D24</f>
        <v>-11785646</v>
      </c>
      <c r="D15" s="38">
        <f>'WP 2 Allocation of TRBAA'!E24</f>
        <v>-146796</v>
      </c>
      <c r="E15" s="38">
        <f>C15+D15</f>
        <v>-11932442</v>
      </c>
      <c r="F15" s="61" t="s">
        <v>207</v>
      </c>
      <c r="G15" s="264">
        <f>G14+1</f>
        <v>3</v>
      </c>
    </row>
    <row r="16" spans="1:7" ht="15.5" x14ac:dyDescent="0.35">
      <c r="A16" s="263">
        <f t="shared" si="0"/>
        <v>4</v>
      </c>
      <c r="B16" s="17"/>
      <c r="C16" s="239"/>
      <c r="D16" s="31"/>
      <c r="E16" s="31"/>
      <c r="F16" s="33"/>
      <c r="G16" s="264">
        <f>G15+1</f>
        <v>4</v>
      </c>
    </row>
    <row r="17" spans="1:7" ht="15.5" x14ac:dyDescent="0.35">
      <c r="A17" s="263">
        <f t="shared" si="0"/>
        <v>5</v>
      </c>
      <c r="B17" s="20" t="s">
        <v>177</v>
      </c>
      <c r="C17" s="239"/>
      <c r="D17" s="31"/>
      <c r="E17" s="31"/>
      <c r="F17" s="61"/>
      <c r="G17" s="264">
        <f>G16+1</f>
        <v>5</v>
      </c>
    </row>
    <row r="18" spans="1:7" ht="15.5" x14ac:dyDescent="0.35">
      <c r="A18" s="263">
        <f t="shared" si="0"/>
        <v>6</v>
      </c>
      <c r="B18" s="17"/>
      <c r="C18" s="239"/>
      <c r="D18" s="31"/>
      <c r="E18" s="31"/>
      <c r="F18" s="33"/>
      <c r="G18" s="264">
        <f t="shared" ref="G18:G37" si="1">G17+1</f>
        <v>6</v>
      </c>
    </row>
    <row r="19" spans="1:7" ht="15.5" x14ac:dyDescent="0.35">
      <c r="A19" s="263">
        <f t="shared" si="0"/>
        <v>7</v>
      </c>
      <c r="B19" s="18" t="s">
        <v>208</v>
      </c>
      <c r="C19" s="239">
        <f>'WP 6 HV LV Alloc Summary'!C26</f>
        <v>-29346878.879999995</v>
      </c>
      <c r="D19" s="239">
        <f>'WP 6 HV LV Alloc Summary'!D26</f>
        <v>0</v>
      </c>
      <c r="E19" s="31">
        <f>C19+D19</f>
        <v>-29346878.879999995</v>
      </c>
      <c r="F19" s="61" t="s">
        <v>209</v>
      </c>
      <c r="G19" s="264">
        <f t="shared" si="1"/>
        <v>7</v>
      </c>
    </row>
    <row r="20" spans="1:7" ht="15.5" x14ac:dyDescent="0.35">
      <c r="A20" s="263">
        <f t="shared" si="0"/>
        <v>8</v>
      </c>
      <c r="B20" s="17"/>
      <c r="C20" s="239"/>
      <c r="D20" s="31"/>
      <c r="E20" s="31"/>
      <c r="F20" s="33"/>
      <c r="G20" s="264">
        <f t="shared" si="1"/>
        <v>8</v>
      </c>
    </row>
    <row r="21" spans="1:7" ht="15.5" x14ac:dyDescent="0.35">
      <c r="A21" s="263">
        <f t="shared" si="0"/>
        <v>9</v>
      </c>
      <c r="B21" s="18" t="s">
        <v>210</v>
      </c>
      <c r="C21" s="239">
        <f>'WP 6 HV LV Alloc Summary'!C33</f>
        <v>9131.4</v>
      </c>
      <c r="D21" s="239">
        <f>'WP 6 HV LV Alloc Summary'!D33</f>
        <v>8868.6</v>
      </c>
      <c r="E21" s="31">
        <f>C21+D21</f>
        <v>18000</v>
      </c>
      <c r="F21" s="61" t="s">
        <v>211</v>
      </c>
      <c r="G21" s="264">
        <f t="shared" si="1"/>
        <v>9</v>
      </c>
    </row>
    <row r="22" spans="1:7" ht="15.5" x14ac:dyDescent="0.35">
      <c r="A22" s="263">
        <f t="shared" si="0"/>
        <v>10</v>
      </c>
      <c r="B22" s="17"/>
      <c r="C22" s="239"/>
      <c r="D22" s="31"/>
      <c r="E22" s="31"/>
      <c r="F22" s="33"/>
      <c r="G22" s="264">
        <f t="shared" si="1"/>
        <v>10</v>
      </c>
    </row>
    <row r="23" spans="1:7" ht="15.5" x14ac:dyDescent="0.35">
      <c r="A23" s="263">
        <f t="shared" si="0"/>
        <v>11</v>
      </c>
      <c r="B23" s="18" t="s">
        <v>212</v>
      </c>
      <c r="C23" s="239">
        <f>'WP 6 HV LV Alloc Summary'!C39</f>
        <v>-350571.00427199993</v>
      </c>
      <c r="D23" s="239">
        <f>'WP 6 HV LV Alloc Summary'!D39</f>
        <v>-340481.63572799996</v>
      </c>
      <c r="E23" s="31">
        <f>C23+D23</f>
        <v>-691052.6399999999</v>
      </c>
      <c r="F23" s="61" t="s">
        <v>213</v>
      </c>
      <c r="G23" s="264">
        <f t="shared" si="1"/>
        <v>11</v>
      </c>
    </row>
    <row r="24" spans="1:7" ht="15.5" x14ac:dyDescent="0.35">
      <c r="A24" s="263">
        <f t="shared" si="0"/>
        <v>12</v>
      </c>
      <c r="B24" s="17"/>
      <c r="C24" s="239"/>
      <c r="D24" s="31"/>
      <c r="E24" s="31"/>
      <c r="F24" s="33"/>
      <c r="G24" s="264">
        <f t="shared" si="1"/>
        <v>12</v>
      </c>
    </row>
    <row r="25" spans="1:7" ht="15.5" x14ac:dyDescent="0.35">
      <c r="A25" s="263">
        <f t="shared" si="0"/>
        <v>13</v>
      </c>
      <c r="B25" s="18" t="s">
        <v>184</v>
      </c>
      <c r="C25" s="253">
        <f>'WP 6 HV LV Alloc Summary'!C49</f>
        <v>-440800.47314799996</v>
      </c>
      <c r="D25" s="253">
        <f>'WP 6 HV LV Alloc Summary'!D49</f>
        <v>-43659.736852000002</v>
      </c>
      <c r="E25" s="38">
        <f>C25+D25</f>
        <v>-484460.20999999996</v>
      </c>
      <c r="F25" s="61" t="s">
        <v>214</v>
      </c>
      <c r="G25" s="264">
        <f t="shared" si="1"/>
        <v>13</v>
      </c>
    </row>
    <row r="26" spans="1:7" ht="15.5" x14ac:dyDescent="0.35">
      <c r="A26" s="263">
        <f t="shared" si="0"/>
        <v>14</v>
      </c>
      <c r="B26" s="17"/>
      <c r="C26" s="239"/>
      <c r="D26" s="31"/>
      <c r="E26" s="31"/>
      <c r="F26" s="33"/>
      <c r="G26" s="264">
        <f t="shared" si="1"/>
        <v>14</v>
      </c>
    </row>
    <row r="27" spans="1:7" ht="15.5" x14ac:dyDescent="0.35">
      <c r="A27" s="263">
        <f t="shared" si="0"/>
        <v>15</v>
      </c>
      <c r="B27" s="544" t="s">
        <v>186</v>
      </c>
      <c r="C27" s="38">
        <f>SUM(C19:C25)</f>
        <v>-30129118.957419995</v>
      </c>
      <c r="D27" s="332">
        <f>SUM(D19:D25)</f>
        <v>-375272.77257999999</v>
      </c>
      <c r="E27" s="38">
        <f>SUM(E19:E25)</f>
        <v>-30504391.729999997</v>
      </c>
      <c r="F27" s="61" t="s">
        <v>215</v>
      </c>
      <c r="G27" s="264">
        <f t="shared" si="1"/>
        <v>15</v>
      </c>
    </row>
    <row r="28" spans="1:7" ht="15.5" x14ac:dyDescent="0.35">
      <c r="A28" s="263">
        <f t="shared" si="0"/>
        <v>16</v>
      </c>
      <c r="B28" s="478"/>
      <c r="C28" s="239"/>
      <c r="D28" s="31"/>
      <c r="E28" s="31"/>
      <c r="F28" s="61"/>
      <c r="G28" s="264">
        <f t="shared" si="1"/>
        <v>16</v>
      </c>
    </row>
    <row r="29" spans="1:7" ht="15.5" x14ac:dyDescent="0.35">
      <c r="A29" s="263">
        <f t="shared" si="0"/>
        <v>17</v>
      </c>
      <c r="B29" s="18" t="s">
        <v>216</v>
      </c>
      <c r="C29" s="239">
        <f>C15+C27</f>
        <v>-41914764.957419991</v>
      </c>
      <c r="D29" s="239">
        <f>D15+D27</f>
        <v>-522068.77257999999</v>
      </c>
      <c r="E29" s="239">
        <f t="shared" ref="E29" si="2">E15+E27</f>
        <v>-42436833.729999997</v>
      </c>
      <c r="F29" s="61" t="s">
        <v>217</v>
      </c>
      <c r="G29" s="264">
        <f t="shared" si="1"/>
        <v>17</v>
      </c>
    </row>
    <row r="30" spans="1:7" ht="15.5" x14ac:dyDescent="0.35">
      <c r="A30" s="263">
        <f t="shared" si="0"/>
        <v>18</v>
      </c>
      <c r="B30" s="478"/>
      <c r="C30" s="239"/>
      <c r="D30" s="31"/>
      <c r="E30" s="31"/>
      <c r="F30" s="61"/>
      <c r="G30" s="264">
        <f t="shared" si="1"/>
        <v>18</v>
      </c>
    </row>
    <row r="31" spans="1:7" ht="15.5" x14ac:dyDescent="0.35">
      <c r="A31" s="263">
        <f t="shared" si="0"/>
        <v>19</v>
      </c>
      <c r="B31" s="479" t="s">
        <v>190</v>
      </c>
      <c r="C31" s="253">
        <f>C29*0.010275</f>
        <v>-430674.20993749041</v>
      </c>
      <c r="D31" s="38">
        <f>D29*0.010275</f>
        <v>-5364.2566382594996</v>
      </c>
      <c r="E31" s="38">
        <f>C31+D31</f>
        <v>-436038.46657574992</v>
      </c>
      <c r="F31" s="61" t="s">
        <v>218</v>
      </c>
      <c r="G31" s="264">
        <f t="shared" si="1"/>
        <v>19</v>
      </c>
    </row>
    <row r="32" spans="1:7" ht="15.5" x14ac:dyDescent="0.35">
      <c r="A32" s="263">
        <f t="shared" si="0"/>
        <v>20</v>
      </c>
      <c r="B32" s="479"/>
      <c r="C32" s="239"/>
      <c r="D32" s="31"/>
      <c r="E32" s="31"/>
      <c r="F32" s="61"/>
      <c r="G32" s="264">
        <f t="shared" si="1"/>
        <v>20</v>
      </c>
    </row>
    <row r="33" spans="1:7" ht="15.5" x14ac:dyDescent="0.35">
      <c r="A33" s="263">
        <f t="shared" si="0"/>
        <v>21</v>
      </c>
      <c r="B33" s="56" t="s">
        <v>219</v>
      </c>
      <c r="C33" s="51">
        <f>C29+C31</f>
        <v>-42345439.167357482</v>
      </c>
      <c r="D33" s="51">
        <f>D29+D31</f>
        <v>-527433.0292182595</v>
      </c>
      <c r="E33" s="51">
        <f>E29+E31</f>
        <v>-42872872.196575746</v>
      </c>
      <c r="F33" s="61" t="s">
        <v>193</v>
      </c>
      <c r="G33" s="264">
        <f t="shared" si="1"/>
        <v>21</v>
      </c>
    </row>
    <row r="34" spans="1:7" ht="15.5" x14ac:dyDescent="0.35">
      <c r="A34" s="263">
        <f t="shared" si="0"/>
        <v>22</v>
      </c>
      <c r="B34" s="11"/>
      <c r="C34" s="530"/>
      <c r="D34" s="44"/>
      <c r="E34" s="44"/>
      <c r="F34" s="62"/>
      <c r="G34" s="264">
        <f t="shared" si="1"/>
        <v>22</v>
      </c>
    </row>
    <row r="35" spans="1:7" ht="18.5" x14ac:dyDescent="0.35">
      <c r="A35" s="263">
        <f t="shared" si="0"/>
        <v>23</v>
      </c>
      <c r="B35" s="11" t="s">
        <v>220</v>
      </c>
      <c r="C35" s="446">
        <f>'WP 3 Standby Revenues'!C15</f>
        <v>-9292594</v>
      </c>
      <c r="D35" s="51">
        <f>'WP 3 Standby Revenues'!D15</f>
        <v>-9056365</v>
      </c>
      <c r="E35" s="51">
        <f>C35+D35</f>
        <v>-18348959</v>
      </c>
      <c r="F35" s="61" t="s">
        <v>221</v>
      </c>
      <c r="G35" s="264">
        <f t="shared" si="1"/>
        <v>23</v>
      </c>
    </row>
    <row r="36" spans="1:7" ht="15.5" x14ac:dyDescent="0.35">
      <c r="A36" s="263">
        <f t="shared" si="0"/>
        <v>24</v>
      </c>
      <c r="B36" s="17"/>
      <c r="C36" s="443"/>
      <c r="D36" s="477"/>
      <c r="E36" s="477"/>
      <c r="F36" s="61"/>
      <c r="G36" s="264">
        <f t="shared" si="1"/>
        <v>24</v>
      </c>
    </row>
    <row r="37" spans="1:7" ht="16" thickBot="1" x14ac:dyDescent="0.4">
      <c r="A37" s="263">
        <f t="shared" si="0"/>
        <v>25</v>
      </c>
      <c r="B37" s="11" t="s">
        <v>222</v>
      </c>
      <c r="C37" s="508">
        <f>C13+C33+C35</f>
        <v>550971071.83264256</v>
      </c>
      <c r="D37" s="232">
        <f>D13+D33+D35</f>
        <v>577706222.97078168</v>
      </c>
      <c r="E37" s="232">
        <f>E13+E33+E35</f>
        <v>1128677294.8034244</v>
      </c>
      <c r="F37" s="61" t="s">
        <v>223</v>
      </c>
      <c r="G37" s="264">
        <f t="shared" si="1"/>
        <v>25</v>
      </c>
    </row>
    <row r="38" spans="1:7" ht="16.5" thickTop="1" thickBot="1" x14ac:dyDescent="0.4">
      <c r="A38" s="576"/>
      <c r="B38" s="81"/>
      <c r="C38" s="828"/>
      <c r="D38" s="81"/>
      <c r="E38" s="81"/>
      <c r="F38" s="556"/>
      <c r="G38" s="407"/>
    </row>
    <row r="39" spans="1:7" ht="15.5" x14ac:dyDescent="0.35">
      <c r="A39" s="22"/>
      <c r="B39" s="22"/>
      <c r="C39" s="143"/>
      <c r="D39" s="143"/>
      <c r="E39" s="22"/>
      <c r="F39" s="22"/>
      <c r="G39" s="22"/>
    </row>
    <row r="40" spans="1:7" ht="18.5" x14ac:dyDescent="0.35">
      <c r="A40" s="83" t="s">
        <v>126</v>
      </c>
      <c r="B40" s="50" t="s">
        <v>499</v>
      </c>
      <c r="C40" s="22"/>
      <c r="D40" s="22"/>
      <c r="E40" s="22"/>
      <c r="F40" s="22"/>
      <c r="G40" s="22"/>
    </row>
    <row r="41" spans="1:7" ht="18.5" x14ac:dyDescent="0.35">
      <c r="A41" s="83">
        <v>2</v>
      </c>
      <c r="B41" s="50" t="s">
        <v>532</v>
      </c>
      <c r="C41" s="22"/>
      <c r="D41" s="22"/>
      <c r="E41" s="22"/>
      <c r="F41" s="22"/>
      <c r="G41" s="22"/>
    </row>
    <row r="42" spans="1:7" ht="18.5" x14ac:dyDescent="0.35">
      <c r="A42" s="69"/>
      <c r="B42" s="50"/>
      <c r="C42" s="22"/>
      <c r="D42" s="22"/>
      <c r="E42" s="22"/>
      <c r="F42" s="22"/>
      <c r="G42" s="22"/>
    </row>
    <row r="43" spans="1:7" ht="15.5" x14ac:dyDescent="0.35">
      <c r="A43" s="22"/>
      <c r="B43" s="50"/>
      <c r="C43" s="22"/>
      <c r="D43" s="22"/>
      <c r="E43" s="22"/>
      <c r="F43" s="22"/>
      <c r="G43" s="22"/>
    </row>
    <row r="44" spans="1:7" ht="15.5" x14ac:dyDescent="0.35">
      <c r="A44" s="22"/>
      <c r="B44" s="50"/>
      <c r="C44" s="22"/>
      <c r="D44" s="22"/>
      <c r="E44" s="22"/>
      <c r="F44" s="22"/>
      <c r="G44" s="22"/>
    </row>
    <row r="45" spans="1:7" ht="15.5" x14ac:dyDescent="0.35">
      <c r="A45" s="22"/>
      <c r="B45" s="50"/>
      <c r="C45" s="22"/>
      <c r="D45" s="22"/>
      <c r="E45" s="22"/>
      <c r="F45" s="22"/>
      <c r="G45" s="22"/>
    </row>
    <row r="46" spans="1:7" ht="15.5" x14ac:dyDescent="0.35">
      <c r="A46" s="22"/>
      <c r="B46" s="50"/>
      <c r="C46" s="22"/>
      <c r="D46" s="22"/>
      <c r="E46" s="22"/>
      <c r="F46" s="22"/>
      <c r="G46" s="22"/>
    </row>
    <row r="47" spans="1:7" ht="15.5" x14ac:dyDescent="0.35">
      <c r="A47" s="22"/>
      <c r="B47" s="50"/>
      <c r="C47" s="22"/>
      <c r="D47" s="22"/>
      <c r="E47" s="22"/>
      <c r="F47" s="22"/>
      <c r="G47" s="22"/>
    </row>
    <row r="48" spans="1:7" ht="15.5" x14ac:dyDescent="0.35">
      <c r="A48" s="22"/>
      <c r="B48" s="50"/>
      <c r="C48" s="22"/>
      <c r="D48" s="22"/>
      <c r="E48" s="22"/>
      <c r="F48" s="22"/>
      <c r="G48" s="22"/>
    </row>
    <row r="49" spans="1:7" ht="15.5" x14ac:dyDescent="0.35">
      <c r="A49" s="22"/>
      <c r="B49" s="50"/>
      <c r="C49" s="22"/>
      <c r="D49" s="22"/>
      <c r="E49" s="22"/>
      <c r="F49" s="22"/>
      <c r="G49" s="22"/>
    </row>
    <row r="50" spans="1:7" ht="15.5" x14ac:dyDescent="0.35">
      <c r="A50" s="22"/>
      <c r="B50" s="50"/>
      <c r="C50" s="22"/>
      <c r="D50" s="22"/>
      <c r="E50" s="22"/>
      <c r="F50" s="22"/>
      <c r="G50" s="22"/>
    </row>
    <row r="51" spans="1:7" ht="15.5" x14ac:dyDescent="0.35">
      <c r="A51" s="22"/>
      <c r="B51" s="50"/>
      <c r="C51" s="22"/>
      <c r="D51" s="22"/>
      <c r="E51" s="22"/>
      <c r="F51" s="22"/>
      <c r="G51" s="22"/>
    </row>
    <row r="52" spans="1:7" ht="15.5" x14ac:dyDescent="0.35">
      <c r="A52" s="22"/>
      <c r="B52" s="50"/>
      <c r="C52" s="22"/>
      <c r="D52" s="22"/>
      <c r="E52" s="22"/>
      <c r="F52" s="22"/>
      <c r="G52" s="22"/>
    </row>
    <row r="53" spans="1:7" ht="15.5" x14ac:dyDescent="0.35">
      <c r="A53" s="22"/>
      <c r="B53" s="50"/>
      <c r="C53" s="22"/>
      <c r="D53" s="22"/>
      <c r="E53" s="22"/>
      <c r="F53" s="22"/>
      <c r="G53" s="22"/>
    </row>
    <row r="54" spans="1:7" ht="15.5" x14ac:dyDescent="0.35">
      <c r="A54" s="22"/>
      <c r="B54" s="50"/>
      <c r="C54" s="22"/>
      <c r="D54" s="22"/>
      <c r="E54" s="22"/>
      <c r="F54" s="22"/>
      <c r="G54" s="22"/>
    </row>
    <row r="55" spans="1:7" ht="15.5" x14ac:dyDescent="0.35">
      <c r="A55" s="22"/>
      <c r="B55" s="50"/>
      <c r="C55" s="22"/>
      <c r="D55" s="22"/>
      <c r="E55" s="22"/>
      <c r="F55" s="22"/>
      <c r="G55" s="22"/>
    </row>
    <row r="56" spans="1:7" ht="15.5" x14ac:dyDescent="0.35">
      <c r="A56" s="22"/>
      <c r="B56" s="50"/>
      <c r="C56" s="22"/>
      <c r="D56" s="22"/>
      <c r="E56" s="22"/>
      <c r="F56" s="22"/>
      <c r="G56" s="22"/>
    </row>
    <row r="57" spans="1:7" ht="15.5" x14ac:dyDescent="0.35">
      <c r="A57" s="22"/>
      <c r="B57" s="50"/>
      <c r="C57" s="22"/>
      <c r="D57" s="22"/>
      <c r="E57" s="22"/>
      <c r="F57" s="22"/>
      <c r="G57" s="22"/>
    </row>
    <row r="58" spans="1:7" ht="15.5" x14ac:dyDescent="0.35">
      <c r="A58" s="22"/>
      <c r="B58" s="50"/>
      <c r="C58" s="22"/>
      <c r="D58" s="22"/>
      <c r="E58" s="22"/>
      <c r="F58" s="22"/>
      <c r="G58" s="22"/>
    </row>
    <row r="59" spans="1:7" ht="15.5" x14ac:dyDescent="0.35">
      <c r="A59" s="22"/>
      <c r="B59" s="50"/>
      <c r="C59" s="22"/>
      <c r="D59" s="22"/>
      <c r="E59" s="22"/>
      <c r="F59" s="22"/>
      <c r="G59" s="22"/>
    </row>
    <row r="60" spans="1:7" ht="15.5" x14ac:dyDescent="0.35">
      <c r="A60" s="22"/>
      <c r="B60" s="50"/>
      <c r="C60" s="22"/>
      <c r="D60" s="22"/>
      <c r="E60" s="22"/>
      <c r="F60" s="22"/>
      <c r="G60" s="22"/>
    </row>
    <row r="61" spans="1:7" ht="15.5" x14ac:dyDescent="0.35">
      <c r="A61" s="22"/>
      <c r="B61" s="50"/>
      <c r="C61" s="22"/>
      <c r="D61" s="22"/>
      <c r="E61" s="22"/>
      <c r="F61" s="22"/>
      <c r="G61" s="22"/>
    </row>
    <row r="62" spans="1:7" ht="15.5" x14ac:dyDescent="0.35">
      <c r="A62" s="22"/>
      <c r="B62" s="50"/>
      <c r="C62" s="22"/>
      <c r="D62" s="22"/>
      <c r="E62" s="22"/>
      <c r="F62" s="22"/>
      <c r="G62" s="22"/>
    </row>
    <row r="63" spans="1:7" ht="15.5" x14ac:dyDescent="0.35">
      <c r="A63" s="22"/>
      <c r="B63" s="50"/>
      <c r="C63" s="22"/>
      <c r="D63" s="22"/>
      <c r="E63" s="22"/>
      <c r="F63" s="22"/>
      <c r="G63" s="22"/>
    </row>
    <row r="64" spans="1:7" ht="15.5" x14ac:dyDescent="0.35">
      <c r="A64" s="22"/>
      <c r="B64" s="50"/>
      <c r="C64" s="22"/>
      <c r="D64" s="22"/>
      <c r="E64" s="22"/>
      <c r="F64" s="22"/>
      <c r="G64" s="22"/>
    </row>
    <row r="65" spans="1:7" ht="15.5" x14ac:dyDescent="0.35">
      <c r="A65" s="22"/>
      <c r="B65" s="50"/>
      <c r="C65" s="22"/>
      <c r="D65" s="22"/>
      <c r="E65" s="22"/>
      <c r="F65" s="22"/>
      <c r="G65" s="22"/>
    </row>
    <row r="66" spans="1:7" ht="15.5" x14ac:dyDescent="0.35">
      <c r="A66" s="22"/>
      <c r="B66" s="50"/>
      <c r="C66" s="22"/>
      <c r="D66" s="22"/>
      <c r="E66" s="22"/>
      <c r="F66" s="22"/>
      <c r="G66" s="22"/>
    </row>
    <row r="67" spans="1:7" ht="15.5" x14ac:dyDescent="0.35">
      <c r="A67" s="22"/>
      <c r="B67" s="50"/>
      <c r="C67" s="22"/>
      <c r="D67" s="22"/>
      <c r="E67" s="22"/>
      <c r="F67" s="22"/>
      <c r="G67" s="22"/>
    </row>
    <row r="68" spans="1:7" ht="15.5" x14ac:dyDescent="0.35">
      <c r="A68" s="22"/>
      <c r="B68" s="50"/>
      <c r="C68" s="22"/>
      <c r="D68" s="22"/>
      <c r="E68" s="22"/>
      <c r="F68" s="22"/>
      <c r="G68" s="22"/>
    </row>
    <row r="69" spans="1:7" ht="15.5" x14ac:dyDescent="0.35">
      <c r="A69" s="22"/>
      <c r="B69" s="50"/>
      <c r="C69" s="22"/>
      <c r="D69" s="22"/>
      <c r="E69" s="22"/>
      <c r="F69" s="22"/>
      <c r="G69" s="22"/>
    </row>
    <row r="70" spans="1:7" ht="15.5" x14ac:dyDescent="0.35">
      <c r="A70" s="22"/>
      <c r="B70" s="50"/>
      <c r="C70" s="22"/>
      <c r="D70" s="22"/>
      <c r="E70" s="22"/>
      <c r="F70" s="22"/>
      <c r="G70" s="22"/>
    </row>
    <row r="71" spans="1:7" ht="15.5" x14ac:dyDescent="0.35">
      <c r="A71" s="22"/>
      <c r="B71" s="50"/>
      <c r="C71" s="22"/>
      <c r="D71" s="22"/>
      <c r="E71" s="22"/>
      <c r="F71" s="22"/>
      <c r="G71" s="22"/>
    </row>
    <row r="72" spans="1:7" ht="15.5" x14ac:dyDescent="0.35">
      <c r="A72" s="22"/>
      <c r="B72" s="50"/>
      <c r="C72" s="22"/>
      <c r="D72" s="22"/>
      <c r="E72" s="22"/>
      <c r="F72" s="22"/>
      <c r="G72" s="22"/>
    </row>
    <row r="73" spans="1:7" ht="15.5" x14ac:dyDescent="0.35">
      <c r="A73" s="22"/>
      <c r="B73" s="50"/>
      <c r="C73" s="22"/>
      <c r="D73" s="22"/>
      <c r="E73" s="22"/>
      <c r="F73" s="22"/>
      <c r="G73" s="22"/>
    </row>
    <row r="74" spans="1:7" ht="15.5" x14ac:dyDescent="0.35">
      <c r="A74" s="22"/>
      <c r="B74" s="50"/>
      <c r="C74" s="22"/>
      <c r="D74" s="22"/>
      <c r="E74" s="22"/>
      <c r="F74" s="22"/>
      <c r="G74" s="22"/>
    </row>
    <row r="75" spans="1:7" ht="15.5" x14ac:dyDescent="0.35">
      <c r="A75" s="22"/>
      <c r="B75" s="50"/>
      <c r="C75" s="22"/>
      <c r="D75" s="22"/>
      <c r="E75" s="22"/>
      <c r="F75" s="22"/>
      <c r="G75" s="22"/>
    </row>
    <row r="76" spans="1:7" ht="15.5" x14ac:dyDescent="0.35">
      <c r="A76" s="22"/>
      <c r="B76" s="50"/>
      <c r="C76" s="22"/>
      <c r="D76" s="22"/>
      <c r="E76" s="22"/>
      <c r="F76" s="22"/>
      <c r="G76" s="22"/>
    </row>
    <row r="77" spans="1:7" ht="15.5" x14ac:dyDescent="0.35">
      <c r="A77" s="22"/>
      <c r="B77" s="50"/>
      <c r="C77" s="22"/>
      <c r="D77" s="22"/>
      <c r="E77" s="22"/>
      <c r="F77" s="22"/>
      <c r="G77" s="22"/>
    </row>
    <row r="78" spans="1:7" ht="15.5" x14ac:dyDescent="0.35">
      <c r="A78" s="22"/>
      <c r="B78" s="50"/>
      <c r="C78" s="22"/>
      <c r="D78" s="22"/>
      <c r="E78" s="22"/>
      <c r="F78" s="22"/>
      <c r="G78" s="22"/>
    </row>
    <row r="79" spans="1:7" ht="15.5" x14ac:dyDescent="0.35">
      <c r="A79" s="22"/>
      <c r="B79" s="50"/>
      <c r="C79" s="22"/>
      <c r="D79" s="22"/>
      <c r="E79" s="22"/>
      <c r="F79" s="22"/>
      <c r="G79" s="22"/>
    </row>
    <row r="80" spans="1:7" ht="15.5" x14ac:dyDescent="0.35">
      <c r="A80" s="22"/>
      <c r="B80" s="50"/>
      <c r="C80" s="22"/>
      <c r="D80" s="22"/>
      <c r="E80" s="22"/>
      <c r="F80" s="22"/>
      <c r="G80" s="22"/>
    </row>
    <row r="81" spans="1:7" ht="15.5" x14ac:dyDescent="0.35">
      <c r="A81" s="22"/>
      <c r="B81" s="50"/>
      <c r="C81" s="22"/>
      <c r="D81" s="22"/>
      <c r="E81" s="22"/>
      <c r="F81" s="22"/>
      <c r="G81" s="22"/>
    </row>
    <row r="82" spans="1:7" ht="15.5" x14ac:dyDescent="0.35">
      <c r="A82" s="22"/>
      <c r="B82" s="50"/>
      <c r="C82" s="22"/>
      <c r="D82" s="22"/>
      <c r="E82" s="22"/>
      <c r="F82" s="22"/>
      <c r="G82" s="22"/>
    </row>
    <row r="83" spans="1:7" ht="15.5" x14ac:dyDescent="0.35">
      <c r="A83" s="22"/>
      <c r="B83" s="50"/>
      <c r="C83" s="22"/>
      <c r="D83" s="22"/>
      <c r="E83" s="22"/>
      <c r="F83" s="22"/>
      <c r="G83" s="22"/>
    </row>
    <row r="84" spans="1:7" ht="15.5" x14ac:dyDescent="0.35">
      <c r="A84" s="22"/>
      <c r="B84" s="50"/>
      <c r="C84" s="22"/>
      <c r="D84" s="22"/>
      <c r="E84" s="22"/>
      <c r="F84" s="22"/>
      <c r="G84" s="22"/>
    </row>
    <row r="85" spans="1:7" ht="15.5" x14ac:dyDescent="0.35">
      <c r="A85" s="22"/>
      <c r="B85" s="50"/>
      <c r="C85" s="22"/>
      <c r="D85" s="22"/>
      <c r="E85" s="22"/>
      <c r="F85" s="22"/>
      <c r="G85" s="22"/>
    </row>
    <row r="86" spans="1:7" ht="15.5" x14ac:dyDescent="0.35">
      <c r="A86" s="22"/>
      <c r="B86" s="50"/>
      <c r="C86" s="22"/>
      <c r="D86" s="22"/>
      <c r="E86" s="22"/>
      <c r="F86" s="22"/>
      <c r="G86" s="22"/>
    </row>
    <row r="87" spans="1:7" ht="15.5" x14ac:dyDescent="0.35">
      <c r="A87" s="22"/>
      <c r="B87" s="50"/>
      <c r="C87" s="22"/>
      <c r="D87" s="22"/>
      <c r="E87" s="22"/>
      <c r="F87" s="22"/>
      <c r="G87" s="22"/>
    </row>
    <row r="88" spans="1:7" ht="15.5" x14ac:dyDescent="0.35">
      <c r="A88" s="22"/>
      <c r="B88" s="50"/>
      <c r="C88" s="22"/>
      <c r="D88" s="22"/>
      <c r="E88" s="22"/>
      <c r="F88" s="22"/>
      <c r="G88" s="22"/>
    </row>
    <row r="89" spans="1:7" ht="15.5" x14ac:dyDescent="0.35">
      <c r="A89" s="22"/>
      <c r="B89" s="50"/>
      <c r="C89" s="22"/>
      <c r="D89" s="22"/>
      <c r="E89" s="22"/>
      <c r="F89" s="22"/>
      <c r="G89" s="22"/>
    </row>
  </sheetData>
  <phoneticPr fontId="0" type="noConversion"/>
  <printOptions horizontalCentered="1"/>
  <pageMargins left="0.25" right="0.25" top="0.5" bottom="0.5" header="0.25" footer="0.25"/>
  <pageSetup scale="74" orientation="landscape" r:id="rId1"/>
  <headerFooter alignWithMargins="0">
    <oddFooter>&amp;L&amp;"Times New Roman,Regular"&amp;12&amp;F&amp;C&amp;"Times New Roman,Regular"&amp;12Page 1&amp;R&amp;"Times New Roman,Regular"&amp;12&amp;A</oddFooter>
  </headerFooter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E46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55.54296875" style="2" customWidth="1"/>
    <col min="3" max="3" width="20.54296875" style="2" customWidth="1"/>
    <col min="4" max="4" width="40.54296875" style="1" customWidth="1"/>
    <col min="5" max="5" width="5.54296875" style="1" customWidth="1"/>
    <col min="6" max="7" width="15.54296875" style="1" customWidth="1"/>
    <col min="8" max="16384" width="8.54296875" style="1"/>
  </cols>
  <sheetData>
    <row r="2" spans="1:5" ht="15" x14ac:dyDescent="0.3">
      <c r="B2" s="5" t="s">
        <v>224</v>
      </c>
      <c r="C2" s="5"/>
      <c r="D2" s="6"/>
    </row>
    <row r="3" spans="1:5" ht="15" x14ac:dyDescent="0.3">
      <c r="B3" s="5" t="s">
        <v>1</v>
      </c>
      <c r="C3" s="5"/>
      <c r="D3" s="6"/>
    </row>
    <row r="4" spans="1:5" ht="15" x14ac:dyDescent="0.3">
      <c r="B4" s="5" t="str">
        <f>'Stmnt BK1 - TRBAA'!B4</f>
        <v>2023 - TRBAA Rate Filing</v>
      </c>
      <c r="C4" s="5"/>
      <c r="D4" s="6"/>
    </row>
    <row r="5" spans="1:5" ht="15" x14ac:dyDescent="0.3">
      <c r="B5" s="5" t="s">
        <v>225</v>
      </c>
      <c r="C5" s="5"/>
      <c r="D5" s="6"/>
    </row>
    <row r="6" spans="1:5" ht="15.5" thickBot="1" x14ac:dyDescent="0.35">
      <c r="B6" s="5"/>
      <c r="C6" s="5"/>
      <c r="D6" s="6"/>
    </row>
    <row r="7" spans="1:5" ht="15" x14ac:dyDescent="0.3">
      <c r="A7" s="557" t="s">
        <v>8</v>
      </c>
      <c r="B7" s="456"/>
      <c r="C7" s="592" t="s">
        <v>18</v>
      </c>
      <c r="D7" s="594"/>
      <c r="E7" s="559" t="s">
        <v>8</v>
      </c>
    </row>
    <row r="8" spans="1:5" ht="15.5" thickBot="1" x14ac:dyDescent="0.35">
      <c r="A8" s="569" t="s">
        <v>11</v>
      </c>
      <c r="B8" s="153" t="s">
        <v>174</v>
      </c>
      <c r="C8" s="583" t="s">
        <v>175</v>
      </c>
      <c r="D8" s="584" t="s">
        <v>16</v>
      </c>
      <c r="E8" s="570" t="s">
        <v>11</v>
      </c>
    </row>
    <row r="9" spans="1:5" ht="15.5" x14ac:dyDescent="0.35">
      <c r="A9" s="333"/>
      <c r="B9" s="11"/>
      <c r="C9" s="236"/>
      <c r="D9" s="91"/>
      <c r="E9" s="349"/>
    </row>
    <row r="10" spans="1:5" ht="15.5" x14ac:dyDescent="0.35">
      <c r="A10" s="263">
        <v>1</v>
      </c>
      <c r="B10" s="18" t="s">
        <v>498</v>
      </c>
      <c r="C10" s="440">
        <f>'WP 4 Monthly TRBAA '!O38</f>
        <v>-11932441.577928549</v>
      </c>
      <c r="D10" s="61" t="str">
        <f>'Stmnt BK1 - TRBAA'!D10</f>
        <v>Work paper No. 4; Page 4.4; Line 32</v>
      </c>
      <c r="E10" s="264">
        <v>1</v>
      </c>
    </row>
    <row r="11" spans="1:5" ht="15.5" x14ac:dyDescent="0.35">
      <c r="A11" s="263">
        <f>A10+1</f>
        <v>2</v>
      </c>
      <c r="B11" s="17"/>
      <c r="C11" s="91"/>
      <c r="D11" s="33"/>
      <c r="E11" s="264">
        <f>E10+1</f>
        <v>2</v>
      </c>
    </row>
    <row r="12" spans="1:5" ht="15.5" x14ac:dyDescent="0.35">
      <c r="A12" s="263">
        <f t="shared" ref="A12:A36" si="0">A11+1</f>
        <v>3</v>
      </c>
      <c r="B12" s="20" t="s">
        <v>177</v>
      </c>
      <c r="C12" s="237"/>
      <c r="D12" s="61"/>
      <c r="E12" s="264">
        <f t="shared" ref="E12:E36" si="1">E11+1</f>
        <v>3</v>
      </c>
    </row>
    <row r="13" spans="1:5" ht="15.5" x14ac:dyDescent="0.35">
      <c r="A13" s="263">
        <f t="shared" si="0"/>
        <v>4</v>
      </c>
      <c r="B13" s="17"/>
      <c r="C13" s="91"/>
      <c r="D13" s="33"/>
      <c r="E13" s="264">
        <f t="shared" si="1"/>
        <v>4</v>
      </c>
    </row>
    <row r="14" spans="1:5" ht="15.5" x14ac:dyDescent="0.35">
      <c r="A14" s="263">
        <f t="shared" si="0"/>
        <v>5</v>
      </c>
      <c r="B14" s="18" t="s">
        <v>178</v>
      </c>
      <c r="C14" s="238">
        <f>'WP 7 Wheeling Revenues'!E37</f>
        <v>-29346878.879999995</v>
      </c>
      <c r="D14" s="61" t="str">
        <f>'Stmnt BK1 - TRBAA'!D14</f>
        <v>Work paper No. 7; Page 7.1; Line 27</v>
      </c>
      <c r="E14" s="264">
        <f t="shared" si="1"/>
        <v>5</v>
      </c>
    </row>
    <row r="15" spans="1:5" ht="15.5" x14ac:dyDescent="0.35">
      <c r="A15" s="263">
        <f t="shared" si="0"/>
        <v>6</v>
      </c>
      <c r="B15" s="17"/>
      <c r="C15" s="239"/>
      <c r="D15" s="33"/>
      <c r="E15" s="264">
        <f t="shared" si="1"/>
        <v>6</v>
      </c>
    </row>
    <row r="16" spans="1:5" ht="15.5" x14ac:dyDescent="0.35">
      <c r="A16" s="263">
        <f t="shared" si="0"/>
        <v>7</v>
      </c>
      <c r="B16" s="18" t="s">
        <v>180</v>
      </c>
      <c r="C16" s="238">
        <f>'WP 8 CT4575'!C34</f>
        <v>18000</v>
      </c>
      <c r="D16" s="61" t="str">
        <f>'Stmnt BK1 - TRBAA'!D16</f>
        <v>Work paper No. 8; Page 8.1; Line 27</v>
      </c>
      <c r="E16" s="264">
        <f t="shared" si="1"/>
        <v>7</v>
      </c>
    </row>
    <row r="17" spans="1:5" ht="15.5" x14ac:dyDescent="0.35">
      <c r="A17" s="263">
        <f t="shared" si="0"/>
        <v>8</v>
      </c>
      <c r="B17" s="17"/>
      <c r="C17" s="239"/>
      <c r="D17" s="33"/>
      <c r="E17" s="264">
        <f t="shared" si="1"/>
        <v>8</v>
      </c>
    </row>
    <row r="18" spans="1:5" ht="15.5" x14ac:dyDescent="0.35">
      <c r="A18" s="263">
        <f t="shared" si="0"/>
        <v>9</v>
      </c>
      <c r="B18" s="18" t="s">
        <v>212</v>
      </c>
      <c r="C18" s="238">
        <f>'WP 9 ETC Cost Diffs'!C34</f>
        <v>-691052.6399999999</v>
      </c>
      <c r="D18" s="61" t="str">
        <f>'Stmnt BK1 - TRBAA'!D18</f>
        <v>Work paper No. 9; Page 9.1; Line 27</v>
      </c>
      <c r="E18" s="264">
        <f t="shared" si="1"/>
        <v>9</v>
      </c>
    </row>
    <row r="19" spans="1:5" ht="15.5" x14ac:dyDescent="0.35">
      <c r="A19" s="263">
        <f t="shared" si="0"/>
        <v>10</v>
      </c>
      <c r="B19" s="17"/>
      <c r="C19" s="239"/>
      <c r="D19" s="33"/>
      <c r="E19" s="264">
        <f t="shared" si="1"/>
        <v>10</v>
      </c>
    </row>
    <row r="20" spans="1:5" ht="15.5" x14ac:dyDescent="0.35">
      <c r="A20" s="263">
        <f t="shared" si="0"/>
        <v>11</v>
      </c>
      <c r="B20" s="18" t="s">
        <v>184</v>
      </c>
      <c r="C20" s="441">
        <f>'WP 11 Other PTO Forecast'!C34</f>
        <v>-484460.2099999999</v>
      </c>
      <c r="D20" s="61" t="str">
        <f>'Stmnt BK1 - TRBAA'!D20</f>
        <v>Work paper No. 11; Page 11.1; Line 27</v>
      </c>
      <c r="E20" s="264">
        <f t="shared" si="1"/>
        <v>11</v>
      </c>
    </row>
    <row r="21" spans="1:5" ht="15.5" x14ac:dyDescent="0.35">
      <c r="A21" s="263">
        <f t="shared" si="0"/>
        <v>12</v>
      </c>
      <c r="B21" s="17"/>
      <c r="C21" s="91"/>
      <c r="D21" s="33"/>
      <c r="E21" s="264">
        <f t="shared" si="1"/>
        <v>12</v>
      </c>
    </row>
    <row r="22" spans="1:5" ht="15.5" x14ac:dyDescent="0.35">
      <c r="A22" s="263">
        <f t="shared" si="0"/>
        <v>13</v>
      </c>
      <c r="B22" s="478" t="s">
        <v>186</v>
      </c>
      <c r="C22" s="253">
        <f>SUM(C14:C20)</f>
        <v>-30504391.729999997</v>
      </c>
      <c r="D22" s="61" t="s">
        <v>226</v>
      </c>
      <c r="E22" s="264">
        <f t="shared" si="1"/>
        <v>13</v>
      </c>
    </row>
    <row r="23" spans="1:5" ht="15.5" x14ac:dyDescent="0.35">
      <c r="A23" s="263">
        <f t="shared" si="0"/>
        <v>14</v>
      </c>
      <c r="B23" s="18"/>
      <c r="C23" s="240"/>
      <c r="D23" s="61"/>
      <c r="E23" s="264">
        <f t="shared" si="1"/>
        <v>14</v>
      </c>
    </row>
    <row r="24" spans="1:5" ht="15.5" x14ac:dyDescent="0.35">
      <c r="A24" s="263">
        <f t="shared" si="0"/>
        <v>15</v>
      </c>
      <c r="B24" s="11" t="s">
        <v>188</v>
      </c>
      <c r="C24" s="255">
        <f>C10+C22-1</f>
        <v>-42436834.307928547</v>
      </c>
      <c r="D24" s="61" t="str">
        <f>'Stmnt BK1 - TRBAA'!D24</f>
        <v>Line 1 + Line 13</v>
      </c>
      <c r="E24" s="264">
        <f t="shared" si="1"/>
        <v>15</v>
      </c>
    </row>
    <row r="25" spans="1:5" ht="15.5" x14ac:dyDescent="0.35">
      <c r="A25" s="263">
        <f t="shared" si="0"/>
        <v>16</v>
      </c>
      <c r="B25" s="11"/>
      <c r="C25" s="445"/>
      <c r="D25" s="62"/>
      <c r="E25" s="264">
        <f t="shared" si="1"/>
        <v>16</v>
      </c>
    </row>
    <row r="26" spans="1:5" ht="15.5" x14ac:dyDescent="0.35">
      <c r="A26" s="263">
        <f t="shared" si="0"/>
        <v>17</v>
      </c>
      <c r="B26" s="11" t="s">
        <v>190</v>
      </c>
      <c r="C26" s="239">
        <f>C24*0.010275</f>
        <v>-436038.4725139658</v>
      </c>
      <c r="D26" s="61" t="str">
        <f>'Stmnt BK1 - TRBAA'!D26</f>
        <v>Line 15 x 1.0275%</v>
      </c>
      <c r="E26" s="264">
        <f t="shared" si="1"/>
        <v>17</v>
      </c>
    </row>
    <row r="27" spans="1:5" ht="15.5" x14ac:dyDescent="0.35">
      <c r="A27" s="263">
        <f t="shared" si="0"/>
        <v>18</v>
      </c>
      <c r="B27" s="11"/>
      <c r="C27" s="445"/>
      <c r="D27" s="62"/>
      <c r="E27" s="264">
        <f t="shared" si="1"/>
        <v>18</v>
      </c>
    </row>
    <row r="28" spans="1:5" ht="15.5" x14ac:dyDescent="0.35">
      <c r="A28" s="263">
        <f t="shared" si="0"/>
        <v>19</v>
      </c>
      <c r="B28" s="11" t="str">
        <f>'Stmnt BK1 - TRBAA'!B28</f>
        <v xml:space="preserve">   Uncollectibles @ 0.173%</v>
      </c>
      <c r="C28" s="253">
        <f>C24*0.00173</f>
        <v>-73415.723352716392</v>
      </c>
      <c r="D28" s="61" t="str">
        <f>'Stmnt BK1 - TRBAA'!D28</f>
        <v>Line 15 x 0.173%</v>
      </c>
      <c r="E28" s="264">
        <f t="shared" si="1"/>
        <v>19</v>
      </c>
    </row>
    <row r="29" spans="1:5" ht="15.5" x14ac:dyDescent="0.35">
      <c r="A29" s="263">
        <f t="shared" si="0"/>
        <v>20</v>
      </c>
      <c r="B29" s="11"/>
      <c r="C29" s="239"/>
      <c r="D29" s="62"/>
      <c r="E29" s="264">
        <f t="shared" si="1"/>
        <v>20</v>
      </c>
    </row>
    <row r="30" spans="1:5" ht="15.5" x14ac:dyDescent="0.35">
      <c r="A30" s="187">
        <f t="shared" si="0"/>
        <v>21</v>
      </c>
      <c r="B30" s="11" t="s">
        <v>192</v>
      </c>
      <c r="C30" s="253">
        <f>SUM(C26:C28)</f>
        <v>-509454.19586668222</v>
      </c>
      <c r="D30" s="61" t="s">
        <v>193</v>
      </c>
      <c r="E30" s="264">
        <f t="shared" si="1"/>
        <v>21</v>
      </c>
    </row>
    <row r="31" spans="1:5" ht="15.5" x14ac:dyDescent="0.35">
      <c r="A31" s="263">
        <f t="shared" si="0"/>
        <v>22</v>
      </c>
      <c r="B31" s="11"/>
      <c r="C31" s="445"/>
      <c r="D31" s="62"/>
      <c r="E31" s="264">
        <f t="shared" si="1"/>
        <v>22</v>
      </c>
    </row>
    <row r="32" spans="1:5" ht="15.5" x14ac:dyDescent="0.35">
      <c r="A32" s="263">
        <f t="shared" si="0"/>
        <v>23</v>
      </c>
      <c r="B32" s="11" t="s">
        <v>194</v>
      </c>
      <c r="C32" s="240">
        <f>SUM(C24:C29)+1</f>
        <v>-42946287.503795229</v>
      </c>
      <c r="D32" s="61" t="s">
        <v>195</v>
      </c>
      <c r="E32" s="264">
        <f t="shared" si="1"/>
        <v>23</v>
      </c>
    </row>
    <row r="33" spans="1:5" ht="15.5" x14ac:dyDescent="0.35">
      <c r="A33" s="263">
        <f t="shared" si="0"/>
        <v>24</v>
      </c>
      <c r="B33" s="11"/>
      <c r="C33" s="445"/>
      <c r="D33" s="62"/>
      <c r="E33" s="264">
        <f t="shared" si="1"/>
        <v>24</v>
      </c>
    </row>
    <row r="34" spans="1:5" ht="15.5" x14ac:dyDescent="0.35">
      <c r="A34" s="263">
        <f t="shared" si="0"/>
        <v>25</v>
      </c>
      <c r="B34" s="11" t="s">
        <v>500</v>
      </c>
      <c r="C34" s="446">
        <f>'Stmnt BD - Recorded KWH'!$E26</f>
        <v>17711014728</v>
      </c>
      <c r="D34" s="61" t="s">
        <v>227</v>
      </c>
      <c r="E34" s="264">
        <f t="shared" si="1"/>
        <v>25</v>
      </c>
    </row>
    <row r="35" spans="1:5" ht="15.5" x14ac:dyDescent="0.35">
      <c r="A35" s="263">
        <f t="shared" si="0"/>
        <v>26</v>
      </c>
      <c r="B35" s="17"/>
      <c r="C35" s="444"/>
      <c r="D35" s="63"/>
      <c r="E35" s="264">
        <f t="shared" si="1"/>
        <v>26</v>
      </c>
    </row>
    <row r="36" spans="1:5" ht="16" thickBot="1" x14ac:dyDescent="0.4">
      <c r="A36" s="263">
        <f t="shared" si="0"/>
        <v>27</v>
      </c>
      <c r="B36" s="11" t="s">
        <v>228</v>
      </c>
      <c r="C36" s="480">
        <f>ROUND(C32/C34,5)</f>
        <v>-2.4199999999999998E-3</v>
      </c>
      <c r="D36" s="61" t="s">
        <v>229</v>
      </c>
      <c r="E36" s="264">
        <f t="shared" si="1"/>
        <v>27</v>
      </c>
    </row>
    <row r="37" spans="1:5" ht="16.5" thickTop="1" thickBot="1" x14ac:dyDescent="0.4">
      <c r="A37" s="576"/>
      <c r="B37" s="81"/>
      <c r="C37" s="583"/>
      <c r="D37" s="577"/>
      <c r="E37" s="407"/>
    </row>
    <row r="38" spans="1:5" ht="15.5" x14ac:dyDescent="0.35">
      <c r="A38" s="22"/>
      <c r="B38" s="22"/>
      <c r="C38" s="22"/>
      <c r="D38" s="37"/>
      <c r="E38" s="22"/>
    </row>
    <row r="39" spans="1:5" ht="15.5" x14ac:dyDescent="0.35">
      <c r="A39" s="22"/>
      <c r="B39" s="68"/>
    </row>
    <row r="40" spans="1:5" ht="18.5" x14ac:dyDescent="0.35">
      <c r="A40" s="69"/>
      <c r="B40" s="50"/>
    </row>
    <row r="41" spans="1:5" ht="18.5" x14ac:dyDescent="0.35">
      <c r="A41" s="69"/>
      <c r="B41" s="50"/>
    </row>
    <row r="42" spans="1:5" ht="18.5" x14ac:dyDescent="0.35">
      <c r="A42" s="69"/>
      <c r="B42" s="50"/>
    </row>
    <row r="43" spans="1:5" ht="18.5" x14ac:dyDescent="0.35">
      <c r="A43" s="69"/>
      <c r="B43" s="50"/>
    </row>
    <row r="44" spans="1:5" ht="15.5" x14ac:dyDescent="0.35">
      <c r="A44" s="36"/>
      <c r="B44" s="50"/>
    </row>
    <row r="45" spans="1:5" ht="15.5" x14ac:dyDescent="0.35">
      <c r="B45" s="50"/>
    </row>
    <row r="46" spans="1:5" ht="18.5" x14ac:dyDescent="0.35">
      <c r="A46" s="69"/>
    </row>
  </sheetData>
  <phoneticPr fontId="15" type="noConversion"/>
  <printOptions horizontalCentered="1"/>
  <pageMargins left="0.25" right="0.25" top="0.5" bottom="0.75" header="0.25" footer="0.25"/>
  <pageSetup scale="93" orientation="landscape" r:id="rId1"/>
  <headerFooter alignWithMargins="0">
    <oddFooter>&amp;L&amp;"Times New Roman,Regular"&amp;F&amp;C&amp;"Times New Roman,Regular"Page 1&amp;R&amp;"Times New Roman,Regular"&amp;A</oddFooter>
  </headerFooter>
  <colBreaks count="1" manualBreakCount="1">
    <brk id="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G32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55.54296875" style="2" customWidth="1"/>
    <col min="3" max="5" width="20.54296875" style="1" customWidth="1"/>
    <col min="6" max="6" width="50.54296875" style="1" customWidth="1"/>
    <col min="7" max="7" width="5.54296875" style="1" customWidth="1"/>
    <col min="8" max="9" width="15.54296875" style="1" customWidth="1"/>
    <col min="10" max="16384" width="8.54296875" style="1"/>
  </cols>
  <sheetData>
    <row r="2" spans="1:7" ht="15" x14ac:dyDescent="0.3">
      <c r="B2" s="5" t="s">
        <v>224</v>
      </c>
      <c r="C2" s="6"/>
      <c r="D2" s="6"/>
      <c r="E2" s="6"/>
      <c r="F2" s="6"/>
    </row>
    <row r="3" spans="1:7" ht="15" x14ac:dyDescent="0.3">
      <c r="B3" s="5" t="s">
        <v>1</v>
      </c>
      <c r="C3" s="6"/>
      <c r="D3" s="6"/>
      <c r="E3" s="6"/>
      <c r="F3" s="6"/>
    </row>
    <row r="4" spans="1:7" ht="15" x14ac:dyDescent="0.3">
      <c r="B4" s="5" t="str">
        <f>'Stmnt BK1 - TRBAA'!B4</f>
        <v>2023 - TRBAA Rate Filing</v>
      </c>
      <c r="C4" s="6"/>
      <c r="D4" s="6"/>
      <c r="E4" s="6"/>
      <c r="F4" s="6"/>
    </row>
    <row r="5" spans="1:7" ht="15" x14ac:dyDescent="0.3">
      <c r="B5" s="5" t="s">
        <v>501</v>
      </c>
      <c r="C5" s="6"/>
      <c r="D5" s="6"/>
      <c r="E5" s="6"/>
      <c r="F5" s="6"/>
    </row>
    <row r="6" spans="1:7" ht="15" x14ac:dyDescent="0.3">
      <c r="B6" s="5" t="s">
        <v>230</v>
      </c>
      <c r="C6" s="6"/>
      <c r="D6" s="6"/>
      <c r="E6" s="6"/>
      <c r="F6" s="6"/>
    </row>
    <row r="7" spans="1:7" ht="15.5" thickBot="1" x14ac:dyDescent="0.35">
      <c r="B7" s="5"/>
      <c r="C7" s="6"/>
      <c r="D7" s="6"/>
      <c r="E7" s="6"/>
      <c r="F7" s="6"/>
    </row>
    <row r="8" spans="1:7" ht="15" x14ac:dyDescent="0.3">
      <c r="A8" s="287"/>
      <c r="B8" s="589"/>
      <c r="C8" s="590" t="s">
        <v>3</v>
      </c>
      <c r="D8" s="591" t="s">
        <v>4</v>
      </c>
      <c r="E8" s="591" t="s">
        <v>198</v>
      </c>
      <c r="F8" s="592"/>
      <c r="G8" s="548"/>
    </row>
    <row r="9" spans="1:7" ht="15" x14ac:dyDescent="0.3">
      <c r="A9" s="551" t="s">
        <v>8</v>
      </c>
      <c r="B9" s="74"/>
      <c r="C9" s="585" t="s">
        <v>18</v>
      </c>
      <c r="D9" s="586" t="s">
        <v>18</v>
      </c>
      <c r="E9" s="586" t="s">
        <v>231</v>
      </c>
      <c r="F9" s="579"/>
      <c r="G9" s="552" t="s">
        <v>8</v>
      </c>
    </row>
    <row r="10" spans="1:7" ht="15" x14ac:dyDescent="0.3">
      <c r="A10" s="551" t="s">
        <v>11</v>
      </c>
      <c r="B10" s="75"/>
      <c r="C10" s="579" t="s">
        <v>232</v>
      </c>
      <c r="D10" s="587" t="s">
        <v>233</v>
      </c>
      <c r="E10" s="587" t="s">
        <v>234</v>
      </c>
      <c r="F10" s="579"/>
      <c r="G10" s="552" t="s">
        <v>11</v>
      </c>
    </row>
    <row r="11" spans="1:7" ht="15" x14ac:dyDescent="0.3">
      <c r="A11" s="595"/>
      <c r="B11" s="545" t="s">
        <v>174</v>
      </c>
      <c r="C11" s="580" t="s">
        <v>234</v>
      </c>
      <c r="D11" s="588" t="s">
        <v>234</v>
      </c>
      <c r="E11" s="588"/>
      <c r="F11" s="580" t="s">
        <v>235</v>
      </c>
      <c r="G11" s="596"/>
    </row>
    <row r="12" spans="1:7" ht="15.5" x14ac:dyDescent="0.35">
      <c r="A12" s="352"/>
      <c r="B12" s="8"/>
      <c r="C12" s="91"/>
      <c r="D12" s="17"/>
      <c r="E12" s="17"/>
      <c r="F12" s="60"/>
      <c r="G12" s="353"/>
    </row>
    <row r="13" spans="1:7" s="361" customFormat="1" ht="18" x14ac:dyDescent="0.25">
      <c r="A13" s="356">
        <v>1</v>
      </c>
      <c r="B13" s="481" t="s">
        <v>205</v>
      </c>
      <c r="C13" s="447">
        <f>'Stmnt BK2 - TRBAA'!C13</f>
        <v>602609105</v>
      </c>
      <c r="D13" s="378">
        <f>'Stmnt BK2 - TRBAA'!D13</f>
        <v>587290021</v>
      </c>
      <c r="E13" s="378">
        <f>C13+D13</f>
        <v>1189899126</v>
      </c>
      <c r="F13" s="379" t="s">
        <v>206</v>
      </c>
      <c r="G13" s="360">
        <v>1</v>
      </c>
    </row>
    <row r="14" spans="1:7" ht="15.5" x14ac:dyDescent="0.35">
      <c r="A14" s="263">
        <f>A13+1</f>
        <v>2</v>
      </c>
      <c r="B14" s="11"/>
      <c r="C14" s="443"/>
      <c r="D14" s="16"/>
      <c r="E14" s="16"/>
      <c r="F14" s="71"/>
      <c r="G14" s="264">
        <f>G13+1</f>
        <v>2</v>
      </c>
    </row>
    <row r="15" spans="1:7" ht="18.5" x14ac:dyDescent="0.35">
      <c r="A15" s="263">
        <f t="shared" ref="A15:A23" si="0">A14+1</f>
        <v>3</v>
      </c>
      <c r="B15" s="11" t="s">
        <v>236</v>
      </c>
      <c r="C15" s="892">
        <f>'Stmnt BK2 - TRBAA'!C33</f>
        <v>-42345439.167357482</v>
      </c>
      <c r="D15" s="893">
        <f>'Stmnt BK2 - TRBAA'!D33</f>
        <v>-527433.0292182595</v>
      </c>
      <c r="E15" s="893">
        <f>C15+D15</f>
        <v>-42872872.196575738</v>
      </c>
      <c r="F15" s="194" t="s">
        <v>237</v>
      </c>
      <c r="G15" s="264">
        <f t="shared" ref="G15:G23" si="1">G14+1</f>
        <v>3</v>
      </c>
    </row>
    <row r="16" spans="1:7" ht="15.5" x14ac:dyDescent="0.35">
      <c r="A16" s="263">
        <f t="shared" si="0"/>
        <v>4</v>
      </c>
      <c r="B16" s="11"/>
      <c r="C16" s="892"/>
      <c r="D16" s="893"/>
      <c r="E16" s="893"/>
      <c r="F16" s="71"/>
      <c r="G16" s="264">
        <f t="shared" si="1"/>
        <v>4</v>
      </c>
    </row>
    <row r="17" spans="1:7" ht="18.5" x14ac:dyDescent="0.35">
      <c r="A17" s="263">
        <f t="shared" si="0"/>
        <v>5</v>
      </c>
      <c r="B17" s="11" t="s">
        <v>238</v>
      </c>
      <c r="C17" s="894">
        <f>'Stmnt BK2 - TRBAA'!C35</f>
        <v>-9292594</v>
      </c>
      <c r="D17" s="895">
        <f>'Stmnt BK2 - TRBAA'!D35</f>
        <v>-9056365</v>
      </c>
      <c r="E17" s="895">
        <f>C17+D17</f>
        <v>-18348959</v>
      </c>
      <c r="F17" s="194" t="s">
        <v>239</v>
      </c>
      <c r="G17" s="264">
        <f t="shared" si="1"/>
        <v>5</v>
      </c>
    </row>
    <row r="18" spans="1:7" ht="15.5" x14ac:dyDescent="0.35">
      <c r="A18" s="263">
        <f t="shared" si="0"/>
        <v>6</v>
      </c>
      <c r="B18" s="17"/>
      <c r="C18" s="443"/>
      <c r="D18" s="16"/>
      <c r="E18" s="16"/>
      <c r="F18" s="86"/>
      <c r="G18" s="264">
        <f t="shared" si="1"/>
        <v>6</v>
      </c>
    </row>
    <row r="19" spans="1:7" ht="15.5" x14ac:dyDescent="0.35">
      <c r="A19" s="263">
        <f t="shared" si="0"/>
        <v>7</v>
      </c>
      <c r="B19" s="11" t="s">
        <v>240</v>
      </c>
      <c r="C19" s="240">
        <f>C13+C15+C17</f>
        <v>550971071.83264256</v>
      </c>
      <c r="D19" s="19">
        <f>D13+D15+D17</f>
        <v>577706222.97078168</v>
      </c>
      <c r="E19" s="19">
        <f>E13+E15+E17</f>
        <v>1128677294.8034244</v>
      </c>
      <c r="F19" s="70" t="s">
        <v>241</v>
      </c>
      <c r="G19" s="264">
        <f t="shared" si="1"/>
        <v>7</v>
      </c>
    </row>
    <row r="20" spans="1:7" ht="15.5" x14ac:dyDescent="0.35">
      <c r="A20" s="263">
        <f t="shared" si="0"/>
        <v>8</v>
      </c>
      <c r="B20" s="11"/>
      <c r="C20" s="240"/>
      <c r="D20" s="19"/>
      <c r="E20" s="19"/>
      <c r="F20" s="195"/>
      <c r="G20" s="264">
        <f t="shared" si="1"/>
        <v>8</v>
      </c>
    </row>
    <row r="21" spans="1:7" ht="15.5" x14ac:dyDescent="0.35">
      <c r="A21" s="263">
        <f t="shared" si="0"/>
        <v>9</v>
      </c>
      <c r="B21" s="11" t="s">
        <v>242</v>
      </c>
      <c r="C21" s="896">
        <f>'Stmnt BD-Forecast MWH@Transm.'!$F40</f>
        <v>17757878.196851026</v>
      </c>
      <c r="D21" s="897">
        <f>'Stmnt BD-Forecast MWH@Transm.'!$F40</f>
        <v>17757878.196851026</v>
      </c>
      <c r="E21" s="897">
        <f>'Stmnt BD-Forecast MWH@Transm.'!$F40</f>
        <v>17757878.196851026</v>
      </c>
      <c r="F21" s="157" t="s">
        <v>524</v>
      </c>
      <c r="G21" s="264">
        <f t="shared" si="1"/>
        <v>9</v>
      </c>
    </row>
    <row r="22" spans="1:7" ht="15.5" x14ac:dyDescent="0.35">
      <c r="A22" s="263">
        <f t="shared" si="0"/>
        <v>10</v>
      </c>
      <c r="B22" s="11"/>
      <c r="C22" s="445"/>
      <c r="D22" s="15"/>
      <c r="E22" s="15"/>
      <c r="F22" s="196"/>
      <c r="G22" s="264">
        <f t="shared" si="1"/>
        <v>10</v>
      </c>
    </row>
    <row r="23" spans="1:7" ht="16" thickBot="1" x14ac:dyDescent="0.4">
      <c r="A23" s="263">
        <f t="shared" si="0"/>
        <v>11</v>
      </c>
      <c r="B23" s="11" t="s">
        <v>243</v>
      </c>
      <c r="C23" s="448">
        <f>C19/C21</f>
        <v>31.026852742482788</v>
      </c>
      <c r="D23" s="35">
        <f>D19/D21</f>
        <v>32.53239021952664</v>
      </c>
      <c r="E23" s="35">
        <f>E19/E21</f>
        <v>63.559242962009435</v>
      </c>
      <c r="F23" s="70" t="s">
        <v>244</v>
      </c>
      <c r="G23" s="264">
        <f t="shared" si="1"/>
        <v>11</v>
      </c>
    </row>
    <row r="24" spans="1:7" ht="16.5" thickTop="1" thickBot="1" x14ac:dyDescent="0.4">
      <c r="A24" s="576"/>
      <c r="B24" s="81"/>
      <c r="C24" s="556"/>
      <c r="D24" s="81"/>
      <c r="E24" s="81"/>
      <c r="F24" s="556"/>
      <c r="G24" s="407"/>
    </row>
    <row r="25" spans="1:7" x14ac:dyDescent="0.3">
      <c r="B25" s="1"/>
    </row>
    <row r="26" spans="1:7" ht="15.5" x14ac:dyDescent="0.35">
      <c r="A26" s="22"/>
      <c r="B26" s="156" t="s">
        <v>245</v>
      </c>
      <c r="C26" s="22"/>
      <c r="D26" s="22"/>
      <c r="E26" s="22"/>
      <c r="F26" s="22"/>
      <c r="G26" s="22"/>
    </row>
    <row r="27" spans="1:7" ht="18.5" x14ac:dyDescent="0.35">
      <c r="A27" s="83" t="s">
        <v>126</v>
      </c>
      <c r="B27" s="50" t="s">
        <v>499</v>
      </c>
      <c r="C27" s="22"/>
      <c r="D27" s="22"/>
      <c r="E27" s="22"/>
      <c r="F27" s="22"/>
      <c r="G27" s="22"/>
    </row>
    <row r="28" spans="1:7" ht="18.5" x14ac:dyDescent="0.35">
      <c r="A28" s="83">
        <v>2</v>
      </c>
      <c r="B28" s="50" t="s">
        <v>246</v>
      </c>
    </row>
    <row r="29" spans="1:7" ht="18.5" x14ac:dyDescent="0.35">
      <c r="A29" s="83">
        <v>3</v>
      </c>
      <c r="B29" s="50" t="s">
        <v>532</v>
      </c>
      <c r="C29" s="22"/>
      <c r="D29" s="22"/>
      <c r="E29" s="22"/>
      <c r="F29" s="22"/>
      <c r="G29" s="22"/>
    </row>
    <row r="30" spans="1:7" ht="15.5" x14ac:dyDescent="0.35">
      <c r="B30" s="50"/>
      <c r="C30" s="22"/>
      <c r="D30" s="22"/>
      <c r="E30" s="22"/>
      <c r="F30" s="22"/>
      <c r="G30" s="22"/>
    </row>
    <row r="31" spans="1:7" ht="15.5" x14ac:dyDescent="0.35">
      <c r="B31" s="50"/>
    </row>
    <row r="32" spans="1:7" ht="15.5" x14ac:dyDescent="0.35">
      <c r="B32" s="50"/>
    </row>
  </sheetData>
  <phoneticPr fontId="0" type="noConversion"/>
  <printOptions horizontalCentered="1"/>
  <pageMargins left="0.25" right="0.25" top="0.5" bottom="0.5" header="0.25" footer="0.25"/>
  <pageSetup scale="76" orientation="landscape" r:id="rId1"/>
  <headerFooter scaleWithDoc="0" alignWithMargins="0">
    <oddFooter>&amp;L&amp;"Times New Roman,Regular"&amp;11&amp;F&amp;C&amp;"Times New Roman,Regular"&amp;11Page 1&amp;R&amp;"Times New Roman,Regular"&amp;11&amp;A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49"/>
  <sheetViews>
    <sheetView zoomScale="80" zoomScaleNormal="80" workbookViewId="0"/>
  </sheetViews>
  <sheetFormatPr defaultColWidth="9.453125" defaultRowHeight="17.5" x14ac:dyDescent="0.35"/>
  <cols>
    <col min="1" max="1" width="5.54296875" style="180" customWidth="1"/>
    <col min="2" max="2" width="53.54296875" style="180" bestFit="1" customWidth="1"/>
    <col min="3" max="14" width="15.54296875" style="180" customWidth="1"/>
    <col min="15" max="15" width="18.453125" style="180" bestFit="1" customWidth="1"/>
    <col min="16" max="16" width="5.54296875" style="180" customWidth="1"/>
    <col min="17" max="17" width="3.81640625" style="180" bestFit="1" customWidth="1"/>
    <col min="18" max="18" width="5.54296875" style="180" bestFit="1" customWidth="1"/>
    <col min="19" max="16384" width="9.453125" style="180"/>
  </cols>
  <sheetData>
    <row r="1" spans="1:17" ht="18" thickBot="1" x14ac:dyDescent="0.4"/>
    <row r="2" spans="1:17" ht="25" x14ac:dyDescent="0.5">
      <c r="A2" s="597" t="s">
        <v>8</v>
      </c>
      <c r="B2" s="973" t="s">
        <v>247</v>
      </c>
      <c r="C2" s="974"/>
      <c r="D2" s="974"/>
      <c r="E2" s="974"/>
      <c r="F2" s="974"/>
      <c r="G2" s="974"/>
      <c r="H2" s="974"/>
      <c r="I2" s="974"/>
      <c r="J2" s="974"/>
      <c r="K2" s="974"/>
      <c r="L2" s="974"/>
      <c r="M2" s="974"/>
      <c r="N2" s="974"/>
      <c r="O2" s="975"/>
      <c r="P2" s="597" t="s">
        <v>8</v>
      </c>
    </row>
    <row r="3" spans="1:17" ht="25.5" thickBot="1" x14ac:dyDescent="0.55000000000000004">
      <c r="A3" s="181" t="s">
        <v>11</v>
      </c>
      <c r="B3" s="976" t="s">
        <v>486</v>
      </c>
      <c r="C3" s="977"/>
      <c r="D3" s="977"/>
      <c r="E3" s="977"/>
      <c r="F3" s="977"/>
      <c r="G3" s="977"/>
      <c r="H3" s="977"/>
      <c r="I3" s="977"/>
      <c r="J3" s="977"/>
      <c r="K3" s="977"/>
      <c r="L3" s="977"/>
      <c r="M3" s="977"/>
      <c r="N3" s="977"/>
      <c r="O3" s="978"/>
      <c r="P3" s="181" t="s">
        <v>11</v>
      </c>
    </row>
    <row r="4" spans="1:17" x14ac:dyDescent="0.35">
      <c r="A4" s="120">
        <v>1</v>
      </c>
      <c r="B4" s="182" t="s">
        <v>248</v>
      </c>
      <c r="C4" s="823"/>
      <c r="D4" s="183"/>
      <c r="E4" s="183"/>
      <c r="F4" s="602"/>
      <c r="G4" s="183"/>
      <c r="H4" s="183"/>
      <c r="I4" s="183"/>
      <c r="J4" s="183"/>
      <c r="K4" s="183"/>
      <c r="L4" s="183"/>
      <c r="M4" s="183"/>
      <c r="N4" s="183"/>
      <c r="O4" s="122"/>
      <c r="P4" s="120">
        <v>1</v>
      </c>
    </row>
    <row r="5" spans="1:17" x14ac:dyDescent="0.35">
      <c r="A5" s="120">
        <f>A4+1</f>
        <v>2</v>
      </c>
      <c r="B5" s="184" t="s">
        <v>249</v>
      </c>
      <c r="C5" s="216">
        <v>44470</v>
      </c>
      <c r="D5" s="217">
        <v>44501</v>
      </c>
      <c r="E5" s="217">
        <v>44531</v>
      </c>
      <c r="F5" s="217">
        <v>44562</v>
      </c>
      <c r="G5" s="217">
        <v>44593</v>
      </c>
      <c r="H5" s="217">
        <v>44621</v>
      </c>
      <c r="I5" s="217">
        <v>44652</v>
      </c>
      <c r="J5" s="217">
        <v>44682</v>
      </c>
      <c r="K5" s="217">
        <v>44713</v>
      </c>
      <c r="L5" s="217">
        <v>44743</v>
      </c>
      <c r="M5" s="217">
        <v>44774</v>
      </c>
      <c r="N5" s="217">
        <v>44805</v>
      </c>
      <c r="O5" s="185" t="s">
        <v>18</v>
      </c>
      <c r="P5" s="120">
        <f>P4+1</f>
        <v>2</v>
      </c>
    </row>
    <row r="6" spans="1:17" x14ac:dyDescent="0.35">
      <c r="A6" s="120">
        <f>A5+1</f>
        <v>3</v>
      </c>
      <c r="B6" s="149" t="s">
        <v>250</v>
      </c>
      <c r="C6" s="117">
        <v>497485.63299999997</v>
      </c>
      <c r="D6" s="93">
        <v>427643.96799999999</v>
      </c>
      <c r="E6" s="93">
        <v>525184.15800000005</v>
      </c>
      <c r="F6" s="197">
        <v>553918.14300000004</v>
      </c>
      <c r="G6" s="197">
        <v>430100.08100000001</v>
      </c>
      <c r="H6" s="197">
        <v>444374.38699999999</v>
      </c>
      <c r="I6" s="197">
        <v>298940.29700000002</v>
      </c>
      <c r="J6" s="197">
        <v>345922.30200000003</v>
      </c>
      <c r="K6" s="197">
        <v>356630.89199999999</v>
      </c>
      <c r="L6" s="197">
        <v>462012.71299999999</v>
      </c>
      <c r="M6" s="197">
        <v>637291.97699999996</v>
      </c>
      <c r="N6" s="197">
        <v>756121.69499999995</v>
      </c>
      <c r="O6" s="199">
        <f>SUM(C6:N6)</f>
        <v>5735626.2460000012</v>
      </c>
      <c r="P6" s="120">
        <f>P5+1</f>
        <v>3</v>
      </c>
    </row>
    <row r="7" spans="1:17" x14ac:dyDescent="0.35">
      <c r="A7" s="120">
        <f t="shared" ref="A7:A23" si="0">A6+1</f>
        <v>4</v>
      </c>
      <c r="B7" s="149" t="s">
        <v>251</v>
      </c>
      <c r="C7" s="117">
        <v>186519.42600000001</v>
      </c>
      <c r="D7" s="93">
        <v>176885.959</v>
      </c>
      <c r="E7" s="93">
        <v>189131.329</v>
      </c>
      <c r="F7" s="197">
        <v>176113.92600000001</v>
      </c>
      <c r="G7" s="197">
        <v>157518.91</v>
      </c>
      <c r="H7" s="197">
        <v>201662.76800000001</v>
      </c>
      <c r="I7" s="197">
        <v>175453.967</v>
      </c>
      <c r="J7" s="197">
        <v>163702.69899999999</v>
      </c>
      <c r="K7" s="197">
        <v>210278.80900000001</v>
      </c>
      <c r="L7" s="197">
        <v>205548.943</v>
      </c>
      <c r="M7" s="197">
        <v>240704.111</v>
      </c>
      <c r="N7" s="197">
        <v>244401.83</v>
      </c>
      <c r="O7" s="199">
        <f>SUM(C7:N7)</f>
        <v>2327922.6770000001</v>
      </c>
      <c r="P7" s="120">
        <f t="shared" ref="P7:P23" si="1">P6+1</f>
        <v>4</v>
      </c>
    </row>
    <row r="8" spans="1:17" x14ac:dyDescent="0.35">
      <c r="A8" s="120">
        <f t="shared" si="0"/>
        <v>5</v>
      </c>
      <c r="B8" s="149" t="s">
        <v>252</v>
      </c>
      <c r="C8" s="917">
        <v>855896.12199999997</v>
      </c>
      <c r="D8" s="918">
        <v>744129.42200000002</v>
      </c>
      <c r="E8" s="918">
        <v>777079.83499999996</v>
      </c>
      <c r="F8" s="918">
        <v>676604.33</v>
      </c>
      <c r="G8" s="918">
        <v>554506.05200000003</v>
      </c>
      <c r="H8" s="918">
        <v>880295.11700000009</v>
      </c>
      <c r="I8" s="918">
        <v>684495.99400000006</v>
      </c>
      <c r="J8" s="918">
        <v>616401.79299999995</v>
      </c>
      <c r="K8" s="918">
        <v>854696.09899999993</v>
      </c>
      <c r="L8" s="918">
        <v>792013.88800000004</v>
      </c>
      <c r="M8" s="918">
        <v>902753.91700000002</v>
      </c>
      <c r="N8" s="918">
        <v>853061.12959600007</v>
      </c>
      <c r="O8" s="199">
        <f>SUM(C8:N8)</f>
        <v>9191933.6985960007</v>
      </c>
      <c r="P8" s="120">
        <f t="shared" si="1"/>
        <v>5</v>
      </c>
    </row>
    <row r="9" spans="1:17" x14ac:dyDescent="0.35">
      <c r="A9" s="120">
        <f t="shared" si="0"/>
        <v>6</v>
      </c>
      <c r="B9" s="202" t="s">
        <v>488</v>
      </c>
      <c r="C9" s="917">
        <v>1575.472</v>
      </c>
      <c r="D9" s="918">
        <v>708.33600000000001</v>
      </c>
      <c r="E9" s="918">
        <v>1286.6880000000001</v>
      </c>
      <c r="F9" s="918">
        <v>166.19200000000001</v>
      </c>
      <c r="G9" s="918">
        <v>98.536000000000001</v>
      </c>
      <c r="H9" s="918">
        <v>476.928</v>
      </c>
      <c r="I9" s="918">
        <v>713.14400000000001</v>
      </c>
      <c r="J9" s="918">
        <v>167.49600000000001</v>
      </c>
      <c r="K9" s="918">
        <v>0.4</v>
      </c>
      <c r="L9" s="918">
        <v>0</v>
      </c>
      <c r="M9" s="918">
        <v>0</v>
      </c>
      <c r="N9" s="918">
        <v>2.8403999999999999E-2</v>
      </c>
      <c r="O9" s="199">
        <f t="shared" ref="O9:O10" si="2">SUM(C9:N9)</f>
        <v>5193.2204039999997</v>
      </c>
      <c r="P9" s="120">
        <f t="shared" si="1"/>
        <v>6</v>
      </c>
    </row>
    <row r="10" spans="1:17" x14ac:dyDescent="0.35">
      <c r="A10" s="120">
        <f t="shared" si="0"/>
        <v>7</v>
      </c>
      <c r="B10" s="202" t="s">
        <v>253</v>
      </c>
      <c r="C10" s="917">
        <v>18115.084999999999</v>
      </c>
      <c r="D10" s="918">
        <v>21004.02</v>
      </c>
      <c r="E10" s="918">
        <v>13142.21</v>
      </c>
      <c r="F10" s="918">
        <v>7662.5720000000001</v>
      </c>
      <c r="G10" s="918">
        <v>8421.0590000000011</v>
      </c>
      <c r="H10" s="918">
        <v>11845.388000000001</v>
      </c>
      <c r="I10" s="918">
        <v>10389.863999999998</v>
      </c>
      <c r="J10" s="918">
        <v>11971.319</v>
      </c>
      <c r="K10" s="918">
        <v>14778.156999999999</v>
      </c>
      <c r="L10" s="918">
        <v>14600.299999999996</v>
      </c>
      <c r="M10" s="918">
        <v>17127.389000000003</v>
      </c>
      <c r="N10" s="918">
        <v>16115.396000000001</v>
      </c>
      <c r="O10" s="199">
        <f t="shared" si="2"/>
        <v>165172.75899999999</v>
      </c>
      <c r="P10" s="120">
        <f t="shared" si="1"/>
        <v>7</v>
      </c>
    </row>
    <row r="11" spans="1:17" x14ac:dyDescent="0.35">
      <c r="A11" s="120">
        <f t="shared" si="0"/>
        <v>8</v>
      </c>
      <c r="B11" s="202" t="s">
        <v>106</v>
      </c>
      <c r="C11" s="917">
        <v>16205.916999999999</v>
      </c>
      <c r="D11" s="918">
        <v>6520.9170000000004</v>
      </c>
      <c r="E11" s="918">
        <v>11877.589</v>
      </c>
      <c r="F11" s="918">
        <v>18091.855</v>
      </c>
      <c r="G11" s="918">
        <v>11478.198</v>
      </c>
      <c r="H11" s="918">
        <v>12173.544</v>
      </c>
      <c r="I11" s="918">
        <v>15020.199000000001</v>
      </c>
      <c r="J11" s="918">
        <v>27587.744999999999</v>
      </c>
      <c r="K11" s="918">
        <v>20889.887999999999</v>
      </c>
      <c r="L11" s="918">
        <v>21139.773000000001</v>
      </c>
      <c r="M11" s="918">
        <v>21805.074000000001</v>
      </c>
      <c r="N11" s="918">
        <v>23034.091</v>
      </c>
      <c r="O11" s="938">
        <f t="shared" ref="O11:O13" si="3">SUM(C11:N11)</f>
        <v>205824.78999999998</v>
      </c>
      <c r="P11" s="120">
        <f t="shared" si="1"/>
        <v>8</v>
      </c>
    </row>
    <row r="12" spans="1:17" x14ac:dyDescent="0.35">
      <c r="A12" s="120">
        <f t="shared" si="0"/>
        <v>9</v>
      </c>
      <c r="B12" s="149" t="s">
        <v>254</v>
      </c>
      <c r="C12" s="917">
        <v>7222.8670000000002</v>
      </c>
      <c r="D12" s="918">
        <v>6523.2060000000001</v>
      </c>
      <c r="E12" s="918">
        <v>6665.56</v>
      </c>
      <c r="F12" s="918">
        <v>6560.3729999999996</v>
      </c>
      <c r="G12" s="918">
        <v>6396.4129999999996</v>
      </c>
      <c r="H12" s="918">
        <v>5614.2820000000002</v>
      </c>
      <c r="I12" s="918">
        <v>8596.6830000000009</v>
      </c>
      <c r="J12" s="918">
        <v>6627.9549999999999</v>
      </c>
      <c r="K12" s="918">
        <v>5596.2820000000002</v>
      </c>
      <c r="L12" s="918">
        <v>7389.7079999999996</v>
      </c>
      <c r="M12" s="918">
        <v>6603.4650000000001</v>
      </c>
      <c r="N12" s="918">
        <v>5544.5429999999997</v>
      </c>
      <c r="O12" s="199">
        <f t="shared" si="3"/>
        <v>79341.337000000014</v>
      </c>
      <c r="P12" s="120">
        <f t="shared" si="1"/>
        <v>9</v>
      </c>
    </row>
    <row r="13" spans="1:17" x14ac:dyDescent="0.35">
      <c r="A13" s="120">
        <f t="shared" si="0"/>
        <v>10</v>
      </c>
      <c r="B13" s="203" t="s">
        <v>7</v>
      </c>
      <c r="C13" s="917">
        <v>23.18</v>
      </c>
      <c r="D13" s="919">
        <v>8.5960000000000001</v>
      </c>
      <c r="E13" s="918">
        <v>8.4640000000000004</v>
      </c>
      <c r="F13" s="918">
        <v>0</v>
      </c>
      <c r="G13" s="918">
        <v>6.4009999999999998</v>
      </c>
      <c r="H13" s="918">
        <v>12.553000000000001</v>
      </c>
      <c r="I13" s="918">
        <v>6.9429999999999996</v>
      </c>
      <c r="J13" s="918">
        <v>5.359</v>
      </c>
      <c r="K13" s="918">
        <v>8.3140000000000001</v>
      </c>
      <c r="L13" s="918">
        <v>10.739000000000001</v>
      </c>
      <c r="M13" s="918">
        <v>11.7</v>
      </c>
      <c r="N13" s="918">
        <v>10.776999999999999</v>
      </c>
      <c r="O13" s="199">
        <f t="shared" si="3"/>
        <v>113.02600000000001</v>
      </c>
      <c r="P13" s="120">
        <f t="shared" si="1"/>
        <v>10</v>
      </c>
      <c r="Q13" s="768"/>
    </row>
    <row r="14" spans="1:17" ht="18" thickBot="1" x14ac:dyDescent="0.4">
      <c r="A14" s="120">
        <f t="shared" si="0"/>
        <v>11</v>
      </c>
      <c r="B14" s="204" t="s">
        <v>255</v>
      </c>
      <c r="C14" s="205">
        <f>SUM(C6:C13)</f>
        <v>1583043.7019999998</v>
      </c>
      <c r="D14" s="210">
        <f t="shared" ref="D14:N14" si="4">SUM(D6:D13)</f>
        <v>1383424.4239999996</v>
      </c>
      <c r="E14" s="206">
        <f t="shared" si="4"/>
        <v>1524375.8330000001</v>
      </c>
      <c r="F14" s="206">
        <f t="shared" si="4"/>
        <v>1439117.3909999998</v>
      </c>
      <c r="G14" s="206">
        <f t="shared" si="4"/>
        <v>1168525.6500000001</v>
      </c>
      <c r="H14" s="206">
        <f t="shared" si="4"/>
        <v>1556454.9670000002</v>
      </c>
      <c r="I14" s="206">
        <f t="shared" si="4"/>
        <v>1193617.0910000002</v>
      </c>
      <c r="J14" s="206">
        <f t="shared" si="4"/>
        <v>1172386.6680000001</v>
      </c>
      <c r="K14" s="206">
        <f t="shared" si="4"/>
        <v>1462878.8409999995</v>
      </c>
      <c r="L14" s="206">
        <f t="shared" si="4"/>
        <v>1502716.0640000002</v>
      </c>
      <c r="M14" s="945">
        <f t="shared" si="4"/>
        <v>1826297.6329999999</v>
      </c>
      <c r="N14" s="945">
        <f t="shared" si="4"/>
        <v>1898289.49</v>
      </c>
      <c r="O14" s="207">
        <f>SUM(O6:O13)</f>
        <v>17711127.754000001</v>
      </c>
      <c r="P14" s="120">
        <f t="shared" si="1"/>
        <v>11</v>
      </c>
      <c r="Q14" s="768"/>
    </row>
    <row r="15" spans="1:17" ht="18" thickTop="1" x14ac:dyDescent="0.35">
      <c r="A15" s="120">
        <f t="shared" si="0"/>
        <v>12</v>
      </c>
      <c r="B15" s="208"/>
      <c r="C15" s="824"/>
      <c r="D15" s="201"/>
      <c r="E15" s="201"/>
      <c r="F15" s="201"/>
      <c r="G15" s="201"/>
      <c r="H15" s="201"/>
      <c r="I15" s="201"/>
      <c r="J15" s="201"/>
      <c r="K15" s="201"/>
      <c r="L15" s="201"/>
      <c r="M15" s="944"/>
      <c r="N15" s="944"/>
      <c r="O15" s="199"/>
      <c r="P15" s="120">
        <f t="shared" si="1"/>
        <v>12</v>
      </c>
    </row>
    <row r="16" spans="1:17" ht="18" thickBot="1" x14ac:dyDescent="0.4">
      <c r="A16" s="120">
        <f t="shared" si="0"/>
        <v>13</v>
      </c>
      <c r="B16" s="204" t="s">
        <v>256</v>
      </c>
      <c r="C16" s="209">
        <f>SUM(C6:C12)</f>
        <v>1583020.5219999999</v>
      </c>
      <c r="D16" s="210">
        <f>SUM(D6:D12)</f>
        <v>1383415.8279999997</v>
      </c>
      <c r="E16" s="210">
        <f t="shared" ref="E16:O16" si="5">SUM(E6:E12)</f>
        <v>1524367.3690000002</v>
      </c>
      <c r="F16" s="210">
        <f t="shared" si="5"/>
        <v>1439117.3909999998</v>
      </c>
      <c r="G16" s="210">
        <f t="shared" si="5"/>
        <v>1168519.2490000001</v>
      </c>
      <c r="H16" s="210">
        <f t="shared" si="5"/>
        <v>1556442.4140000001</v>
      </c>
      <c r="I16" s="210">
        <f t="shared" si="5"/>
        <v>1193610.1480000003</v>
      </c>
      <c r="J16" s="210">
        <f t="shared" si="5"/>
        <v>1172381.3090000001</v>
      </c>
      <c r="K16" s="210">
        <f t="shared" si="5"/>
        <v>1462870.5269999995</v>
      </c>
      <c r="L16" s="210">
        <f t="shared" si="5"/>
        <v>1502705.3250000002</v>
      </c>
      <c r="M16" s="946">
        <f t="shared" si="5"/>
        <v>1826285.933</v>
      </c>
      <c r="N16" s="946">
        <f t="shared" si="5"/>
        <v>1898278.713</v>
      </c>
      <c r="O16" s="211">
        <f t="shared" si="5"/>
        <v>17711014.728</v>
      </c>
      <c r="P16" s="120">
        <f t="shared" si="1"/>
        <v>13</v>
      </c>
      <c r="Q16" s="768"/>
    </row>
    <row r="17" spans="1:16" ht="18.5" thickTop="1" thickBot="1" x14ac:dyDescent="0.4">
      <c r="A17" s="120">
        <f t="shared" si="0"/>
        <v>14</v>
      </c>
      <c r="B17" s="212"/>
      <c r="C17" s="825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213"/>
      <c r="O17" s="214"/>
      <c r="P17" s="120">
        <f t="shared" si="1"/>
        <v>14</v>
      </c>
    </row>
    <row r="18" spans="1:16" x14ac:dyDescent="0.35">
      <c r="A18" s="120">
        <f t="shared" si="0"/>
        <v>15</v>
      </c>
      <c r="B18" s="215" t="s">
        <v>257</v>
      </c>
      <c r="C18" s="216">
        <f>C5</f>
        <v>44470</v>
      </c>
      <c r="D18" s="217">
        <f t="shared" ref="D18:O18" si="6">D5</f>
        <v>44501</v>
      </c>
      <c r="E18" s="217">
        <f t="shared" si="6"/>
        <v>44531</v>
      </c>
      <c r="F18" s="217">
        <f t="shared" si="6"/>
        <v>44562</v>
      </c>
      <c r="G18" s="217">
        <f t="shared" si="6"/>
        <v>44593</v>
      </c>
      <c r="H18" s="217">
        <f t="shared" si="6"/>
        <v>44621</v>
      </c>
      <c r="I18" s="217">
        <f t="shared" si="6"/>
        <v>44652</v>
      </c>
      <c r="J18" s="217">
        <f t="shared" si="6"/>
        <v>44682</v>
      </c>
      <c r="K18" s="217">
        <f t="shared" si="6"/>
        <v>44713</v>
      </c>
      <c r="L18" s="217">
        <f t="shared" si="6"/>
        <v>44743</v>
      </c>
      <c r="M18" s="217">
        <f t="shared" si="6"/>
        <v>44774</v>
      </c>
      <c r="N18" s="217">
        <f t="shared" si="6"/>
        <v>44805</v>
      </c>
      <c r="O18" s="185" t="str">
        <f t="shared" si="6"/>
        <v>Total</v>
      </c>
      <c r="P18" s="120">
        <f t="shared" si="1"/>
        <v>15</v>
      </c>
    </row>
    <row r="19" spans="1:16" x14ac:dyDescent="0.35">
      <c r="A19" s="120">
        <f t="shared" si="0"/>
        <v>16</v>
      </c>
      <c r="B19" s="218" t="s">
        <v>258</v>
      </c>
      <c r="C19" s="219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123"/>
      <c r="P19" s="120">
        <f t="shared" si="1"/>
        <v>16</v>
      </c>
    </row>
    <row r="20" spans="1:16" x14ac:dyDescent="0.35">
      <c r="A20" s="120">
        <f t="shared" si="0"/>
        <v>17</v>
      </c>
      <c r="B20" s="125" t="s">
        <v>259</v>
      </c>
      <c r="C20" s="117">
        <v>0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857">
        <f>SUM(C20:N20)</f>
        <v>0</v>
      </c>
      <c r="P20" s="120">
        <f t="shared" si="1"/>
        <v>17</v>
      </c>
    </row>
    <row r="21" spans="1:16" x14ac:dyDescent="0.35">
      <c r="A21" s="120">
        <f t="shared" si="0"/>
        <v>18</v>
      </c>
      <c r="B21" s="125" t="s">
        <v>260</v>
      </c>
      <c r="C21" s="117">
        <v>855896.12199999997</v>
      </c>
      <c r="D21" s="93">
        <v>744129.42200000002</v>
      </c>
      <c r="E21" s="93">
        <v>777079.83499999996</v>
      </c>
      <c r="F21" s="93">
        <v>676604.33</v>
      </c>
      <c r="G21" s="93">
        <v>554506.05200000003</v>
      </c>
      <c r="H21" s="93">
        <v>880295.11700000009</v>
      </c>
      <c r="I21" s="93">
        <v>684495.99400000006</v>
      </c>
      <c r="J21" s="93">
        <v>616401.79299999995</v>
      </c>
      <c r="K21" s="93">
        <v>854696.09899999993</v>
      </c>
      <c r="L21" s="93">
        <v>792013.88800000004</v>
      </c>
      <c r="M21" s="93">
        <v>902753.91700000002</v>
      </c>
      <c r="N21" s="93">
        <v>853061.12959600007</v>
      </c>
      <c r="O21" s="199">
        <f>SUM(C21:N21)</f>
        <v>9191933.6985960007</v>
      </c>
      <c r="P21" s="120">
        <f t="shared" si="1"/>
        <v>18</v>
      </c>
    </row>
    <row r="22" spans="1:16" x14ac:dyDescent="0.35">
      <c r="A22" s="120">
        <f t="shared" si="0"/>
        <v>19</v>
      </c>
      <c r="B22" s="125" t="s">
        <v>261</v>
      </c>
      <c r="C22" s="117">
        <v>0</v>
      </c>
      <c r="D22" s="482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8">
        <f>SUM(C22:N22)</f>
        <v>0</v>
      </c>
      <c r="P22" s="120">
        <f t="shared" si="1"/>
        <v>19</v>
      </c>
    </row>
    <row r="23" spans="1:16" ht="18" thickBot="1" x14ac:dyDescent="0.4">
      <c r="A23" s="120">
        <f t="shared" si="0"/>
        <v>20</v>
      </c>
      <c r="B23" s="120" t="s">
        <v>18</v>
      </c>
      <c r="C23" s="221">
        <f>SUM(C20:C22)</f>
        <v>855896.12199999997</v>
      </c>
      <c r="D23" s="439">
        <f t="shared" ref="D23:O23" si="7">SUM(D20:D22)</f>
        <v>744129.42200000002</v>
      </c>
      <c r="E23" s="222">
        <f t="shared" si="7"/>
        <v>777079.83499999996</v>
      </c>
      <c r="F23" s="222">
        <f t="shared" si="7"/>
        <v>676604.33</v>
      </c>
      <c r="G23" s="222">
        <f t="shared" si="7"/>
        <v>554506.05200000003</v>
      </c>
      <c r="H23" s="222">
        <f t="shared" si="7"/>
        <v>880295.11700000009</v>
      </c>
      <c r="I23" s="222">
        <f t="shared" si="7"/>
        <v>684495.99400000006</v>
      </c>
      <c r="J23" s="222">
        <f t="shared" si="7"/>
        <v>616401.79299999995</v>
      </c>
      <c r="K23" s="222">
        <f t="shared" si="7"/>
        <v>854696.09899999993</v>
      </c>
      <c r="L23" s="222">
        <f t="shared" si="7"/>
        <v>792013.88800000004</v>
      </c>
      <c r="M23" s="947">
        <f t="shared" si="7"/>
        <v>902753.91700000002</v>
      </c>
      <c r="N23" s="947">
        <f t="shared" si="7"/>
        <v>853061.12959600007</v>
      </c>
      <c r="O23" s="223">
        <f t="shared" si="7"/>
        <v>9191933.6985960007</v>
      </c>
      <c r="P23" s="120">
        <f t="shared" si="1"/>
        <v>20</v>
      </c>
    </row>
    <row r="24" spans="1:16" ht="18.5" thickTop="1" thickBot="1" x14ac:dyDescent="0.4">
      <c r="A24" s="121">
        <f>A23+1</f>
        <v>21</v>
      </c>
      <c r="B24" s="126"/>
      <c r="C24" s="212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124"/>
      <c r="P24" s="121">
        <f>P23+1</f>
        <v>21</v>
      </c>
    </row>
    <row r="26" spans="1:16" ht="18" thickBot="1" x14ac:dyDescent="0.4"/>
    <row r="27" spans="1:16" x14ac:dyDescent="0.35">
      <c r="A27" s="150" t="s">
        <v>8</v>
      </c>
      <c r="B27" s="979" t="s">
        <v>262</v>
      </c>
      <c r="C27" s="980"/>
      <c r="D27" s="980"/>
      <c r="E27" s="980"/>
      <c r="F27" s="980"/>
      <c r="G27" s="980"/>
      <c r="H27" s="980"/>
      <c r="I27" s="980"/>
      <c r="J27" s="980"/>
      <c r="K27" s="980"/>
      <c r="L27" s="980"/>
      <c r="M27" s="980"/>
      <c r="N27" s="980"/>
      <c r="O27" s="981"/>
      <c r="P27" s="150" t="s">
        <v>8</v>
      </c>
    </row>
    <row r="28" spans="1:16" ht="18" thickBot="1" x14ac:dyDescent="0.4">
      <c r="A28" s="121" t="s">
        <v>11</v>
      </c>
      <c r="B28" s="982" t="str">
        <f>B3</f>
        <v>Recorded Billing Determinants for the 12-Month Period: October 2021 - September 2022</v>
      </c>
      <c r="C28" s="983"/>
      <c r="D28" s="983"/>
      <c r="E28" s="983"/>
      <c r="F28" s="983"/>
      <c r="G28" s="983"/>
      <c r="H28" s="983"/>
      <c r="I28" s="983"/>
      <c r="J28" s="983"/>
      <c r="K28" s="983"/>
      <c r="L28" s="983"/>
      <c r="M28" s="983"/>
      <c r="N28" s="983"/>
      <c r="O28" s="984"/>
      <c r="P28" s="121" t="s">
        <v>11</v>
      </c>
    </row>
    <row r="29" spans="1:16" x14ac:dyDescent="0.35">
      <c r="A29" s="120">
        <f>A24+1</f>
        <v>22</v>
      </c>
      <c r="B29" s="182" t="s">
        <v>248</v>
      </c>
      <c r="C29" s="224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22"/>
      <c r="P29" s="120">
        <f>P24+1</f>
        <v>22</v>
      </c>
    </row>
    <row r="30" spans="1:16" x14ac:dyDescent="0.35">
      <c r="A30" s="120">
        <f>A29+1</f>
        <v>23</v>
      </c>
      <c r="B30" s="184" t="s">
        <v>263</v>
      </c>
      <c r="C30" s="216">
        <f t="shared" ref="C30:N30" si="8">C5</f>
        <v>44470</v>
      </c>
      <c r="D30" s="217">
        <f t="shared" si="8"/>
        <v>44501</v>
      </c>
      <c r="E30" s="217">
        <f t="shared" si="8"/>
        <v>44531</v>
      </c>
      <c r="F30" s="217">
        <f t="shared" si="8"/>
        <v>44562</v>
      </c>
      <c r="G30" s="217">
        <f t="shared" si="8"/>
        <v>44593</v>
      </c>
      <c r="H30" s="217">
        <f t="shared" si="8"/>
        <v>44621</v>
      </c>
      <c r="I30" s="217">
        <f t="shared" si="8"/>
        <v>44652</v>
      </c>
      <c r="J30" s="217">
        <f t="shared" si="8"/>
        <v>44682</v>
      </c>
      <c r="K30" s="217">
        <f t="shared" si="8"/>
        <v>44713</v>
      </c>
      <c r="L30" s="217">
        <f t="shared" si="8"/>
        <v>44743</v>
      </c>
      <c r="M30" s="217">
        <f t="shared" si="8"/>
        <v>44774</v>
      </c>
      <c r="N30" s="217">
        <f t="shared" si="8"/>
        <v>44805</v>
      </c>
      <c r="O30" s="185" t="s">
        <v>18</v>
      </c>
      <c r="P30" s="120">
        <f>P29+1</f>
        <v>23</v>
      </c>
    </row>
    <row r="31" spans="1:16" x14ac:dyDescent="0.35">
      <c r="A31" s="120">
        <f>A30+1</f>
        <v>24</v>
      </c>
      <c r="B31" s="149" t="s">
        <v>250</v>
      </c>
      <c r="C31" s="117">
        <f t="shared" ref="C31:N31" si="9">C6*1000</f>
        <v>497485633</v>
      </c>
      <c r="D31" s="197">
        <f t="shared" si="9"/>
        <v>427643968</v>
      </c>
      <c r="E31" s="197">
        <f t="shared" si="9"/>
        <v>525184158.00000006</v>
      </c>
      <c r="F31" s="197">
        <f t="shared" si="9"/>
        <v>553918143</v>
      </c>
      <c r="G31" s="197">
        <f t="shared" si="9"/>
        <v>430100081</v>
      </c>
      <c r="H31" s="197">
        <f t="shared" si="9"/>
        <v>444374387</v>
      </c>
      <c r="I31" s="197">
        <f t="shared" si="9"/>
        <v>298940297</v>
      </c>
      <c r="J31" s="197">
        <f t="shared" si="9"/>
        <v>345922302</v>
      </c>
      <c r="K31" s="197">
        <f t="shared" si="9"/>
        <v>356630892</v>
      </c>
      <c r="L31" s="197">
        <f t="shared" si="9"/>
        <v>462012713</v>
      </c>
      <c r="M31" s="197">
        <f t="shared" si="9"/>
        <v>637291977</v>
      </c>
      <c r="N31" s="197">
        <f t="shared" si="9"/>
        <v>756121695</v>
      </c>
      <c r="O31" s="857">
        <f>SUM(C31:N31)</f>
        <v>5735626246</v>
      </c>
      <c r="P31" s="120">
        <f>P30+1</f>
        <v>24</v>
      </c>
    </row>
    <row r="32" spans="1:16" x14ac:dyDescent="0.35">
      <c r="A32" s="120">
        <f t="shared" ref="A32:A48" si="10">A31+1</f>
        <v>25</v>
      </c>
      <c r="B32" s="149" t="s">
        <v>251</v>
      </c>
      <c r="C32" s="117">
        <f t="shared" ref="C32:N32" si="11">C7*1000</f>
        <v>186519426</v>
      </c>
      <c r="D32" s="197">
        <f t="shared" si="11"/>
        <v>176885959</v>
      </c>
      <c r="E32" s="197">
        <f t="shared" si="11"/>
        <v>189131329</v>
      </c>
      <c r="F32" s="197">
        <f t="shared" si="11"/>
        <v>176113926</v>
      </c>
      <c r="G32" s="197">
        <f t="shared" si="11"/>
        <v>157518910</v>
      </c>
      <c r="H32" s="197">
        <f t="shared" si="11"/>
        <v>201662768</v>
      </c>
      <c r="I32" s="197">
        <f t="shared" si="11"/>
        <v>175453967</v>
      </c>
      <c r="J32" s="197">
        <f t="shared" si="11"/>
        <v>163702699</v>
      </c>
      <c r="K32" s="197">
        <f t="shared" si="11"/>
        <v>210278809</v>
      </c>
      <c r="L32" s="197">
        <f t="shared" si="11"/>
        <v>205548943</v>
      </c>
      <c r="M32" s="197">
        <f t="shared" si="11"/>
        <v>240704111</v>
      </c>
      <c r="N32" s="197">
        <f t="shared" si="11"/>
        <v>244401830</v>
      </c>
      <c r="O32" s="857">
        <f>SUM(C32:N32)</f>
        <v>2327922677</v>
      </c>
      <c r="P32" s="120">
        <f t="shared" ref="P32:P48" si="12">P31+1</f>
        <v>25</v>
      </c>
    </row>
    <row r="33" spans="1:18" x14ac:dyDescent="0.35">
      <c r="A33" s="120">
        <f t="shared" si="10"/>
        <v>26</v>
      </c>
      <c r="B33" s="149" t="s">
        <v>252</v>
      </c>
      <c r="C33" s="917">
        <f>C48</f>
        <v>855896122</v>
      </c>
      <c r="D33" s="918">
        <f>D48</f>
        <v>744129422</v>
      </c>
      <c r="E33" s="918">
        <f t="shared" ref="E33:N33" si="13">E48</f>
        <v>777079835</v>
      </c>
      <c r="F33" s="918">
        <f t="shared" si="13"/>
        <v>676604330</v>
      </c>
      <c r="G33" s="918">
        <f t="shared" si="13"/>
        <v>554506052</v>
      </c>
      <c r="H33" s="918">
        <f t="shared" si="13"/>
        <v>880295117.00000012</v>
      </c>
      <c r="I33" s="918">
        <f t="shared" si="13"/>
        <v>684495994.00000012</v>
      </c>
      <c r="J33" s="918">
        <f t="shared" si="13"/>
        <v>616401793</v>
      </c>
      <c r="K33" s="918">
        <f t="shared" si="13"/>
        <v>854696098.99999988</v>
      </c>
      <c r="L33" s="918">
        <f t="shared" si="13"/>
        <v>792013888</v>
      </c>
      <c r="M33" s="918">
        <f t="shared" si="13"/>
        <v>902753917</v>
      </c>
      <c r="N33" s="918">
        <f t="shared" si="13"/>
        <v>853061129.59600008</v>
      </c>
      <c r="O33" s="857">
        <f>SUM(C33:N33)</f>
        <v>9191933698.5960007</v>
      </c>
      <c r="P33" s="120">
        <f t="shared" si="12"/>
        <v>26</v>
      </c>
    </row>
    <row r="34" spans="1:18" x14ac:dyDescent="0.35">
      <c r="A34" s="120">
        <f t="shared" si="10"/>
        <v>27</v>
      </c>
      <c r="B34" s="202" t="s">
        <v>488</v>
      </c>
      <c r="C34" s="917">
        <f>C9*1000</f>
        <v>1575472</v>
      </c>
      <c r="D34" s="918">
        <f t="shared" ref="D34:N34" si="14">D9*1000</f>
        <v>708336</v>
      </c>
      <c r="E34" s="918">
        <f t="shared" si="14"/>
        <v>1286688</v>
      </c>
      <c r="F34" s="918">
        <f t="shared" si="14"/>
        <v>166192</v>
      </c>
      <c r="G34" s="918">
        <f t="shared" si="14"/>
        <v>98536</v>
      </c>
      <c r="H34" s="918">
        <f t="shared" si="14"/>
        <v>476928</v>
      </c>
      <c r="I34" s="918">
        <f t="shared" si="14"/>
        <v>713144</v>
      </c>
      <c r="J34" s="918">
        <f t="shared" si="14"/>
        <v>167496</v>
      </c>
      <c r="K34" s="918">
        <f t="shared" si="14"/>
        <v>400</v>
      </c>
      <c r="L34" s="918">
        <f t="shared" si="14"/>
        <v>0</v>
      </c>
      <c r="M34" s="918">
        <f t="shared" si="14"/>
        <v>0</v>
      </c>
      <c r="N34" s="918">
        <f t="shared" si="14"/>
        <v>28.404</v>
      </c>
      <c r="O34" s="857">
        <f t="shared" ref="O34:O35" si="15">SUM(C34:N34)</f>
        <v>5193220.4040000001</v>
      </c>
      <c r="P34" s="120">
        <f t="shared" si="12"/>
        <v>27</v>
      </c>
    </row>
    <row r="35" spans="1:18" x14ac:dyDescent="0.35">
      <c r="A35" s="120">
        <f t="shared" si="10"/>
        <v>28</v>
      </c>
      <c r="B35" s="202" t="s">
        <v>253</v>
      </c>
      <c r="C35" s="117">
        <f t="shared" ref="C35:N35" si="16">C10*1000</f>
        <v>18115085</v>
      </c>
      <c r="D35" s="197">
        <f t="shared" si="16"/>
        <v>21004020</v>
      </c>
      <c r="E35" s="197">
        <f t="shared" si="16"/>
        <v>13142210</v>
      </c>
      <c r="F35" s="197">
        <f t="shared" si="16"/>
        <v>7662572</v>
      </c>
      <c r="G35" s="197">
        <f t="shared" si="16"/>
        <v>8421059.0000000019</v>
      </c>
      <c r="H35" s="197">
        <f t="shared" si="16"/>
        <v>11845388</v>
      </c>
      <c r="I35" s="197">
        <f t="shared" si="16"/>
        <v>10389863.999999998</v>
      </c>
      <c r="J35" s="197">
        <f t="shared" si="16"/>
        <v>11971319</v>
      </c>
      <c r="K35" s="197">
        <f t="shared" si="16"/>
        <v>14778157</v>
      </c>
      <c r="L35" s="197">
        <f t="shared" si="16"/>
        <v>14600299.999999996</v>
      </c>
      <c r="M35" s="197">
        <f t="shared" si="16"/>
        <v>17127389.000000004</v>
      </c>
      <c r="N35" s="197">
        <f t="shared" si="16"/>
        <v>16115396</v>
      </c>
      <c r="O35" s="857">
        <f t="shared" si="15"/>
        <v>165172759</v>
      </c>
      <c r="P35" s="120">
        <f t="shared" si="12"/>
        <v>28</v>
      </c>
    </row>
    <row r="36" spans="1:18" x14ac:dyDescent="0.35">
      <c r="A36" s="120">
        <f t="shared" si="10"/>
        <v>29</v>
      </c>
      <c r="B36" s="202" t="s">
        <v>106</v>
      </c>
      <c r="C36" s="117">
        <f t="shared" ref="C36:N36" si="17">C11*1000</f>
        <v>16205917</v>
      </c>
      <c r="D36" s="197">
        <f t="shared" si="17"/>
        <v>6520917</v>
      </c>
      <c r="E36" s="197">
        <f t="shared" si="17"/>
        <v>11877589</v>
      </c>
      <c r="F36" s="197">
        <f t="shared" si="17"/>
        <v>18091855</v>
      </c>
      <c r="G36" s="197">
        <f t="shared" si="17"/>
        <v>11478198</v>
      </c>
      <c r="H36" s="197">
        <f t="shared" si="17"/>
        <v>12173544</v>
      </c>
      <c r="I36" s="197">
        <f t="shared" si="17"/>
        <v>15020199</v>
      </c>
      <c r="J36" s="197">
        <f t="shared" si="17"/>
        <v>27587745</v>
      </c>
      <c r="K36" s="197">
        <f t="shared" si="17"/>
        <v>20889888</v>
      </c>
      <c r="L36" s="197">
        <f t="shared" si="17"/>
        <v>21139773</v>
      </c>
      <c r="M36" s="197">
        <f t="shared" si="17"/>
        <v>21805074</v>
      </c>
      <c r="N36" s="197">
        <f t="shared" si="17"/>
        <v>23034091</v>
      </c>
      <c r="O36" s="857">
        <f t="shared" ref="O36" si="18">SUM(C36:N36)</f>
        <v>205824790</v>
      </c>
      <c r="P36" s="120">
        <f t="shared" si="12"/>
        <v>29</v>
      </c>
    </row>
    <row r="37" spans="1:18" x14ac:dyDescent="0.35">
      <c r="A37" s="120">
        <f t="shared" si="10"/>
        <v>30</v>
      </c>
      <c r="B37" s="149" t="s">
        <v>254</v>
      </c>
      <c r="C37" s="117">
        <f t="shared" ref="C37:N37" si="19">C12*1000</f>
        <v>7222867</v>
      </c>
      <c r="D37" s="197">
        <f t="shared" si="19"/>
        <v>6523206</v>
      </c>
      <c r="E37" s="197">
        <f t="shared" si="19"/>
        <v>6665560</v>
      </c>
      <c r="F37" s="197">
        <f t="shared" si="19"/>
        <v>6560373</v>
      </c>
      <c r="G37" s="197">
        <f t="shared" si="19"/>
        <v>6396413</v>
      </c>
      <c r="H37" s="197">
        <f t="shared" si="19"/>
        <v>5614282</v>
      </c>
      <c r="I37" s="197">
        <f t="shared" si="19"/>
        <v>8596683</v>
      </c>
      <c r="J37" s="197">
        <f t="shared" si="19"/>
        <v>6627955</v>
      </c>
      <c r="K37" s="197">
        <f t="shared" si="19"/>
        <v>5596282</v>
      </c>
      <c r="L37" s="197">
        <f t="shared" si="19"/>
        <v>7389708</v>
      </c>
      <c r="M37" s="197">
        <f t="shared" si="19"/>
        <v>6603465</v>
      </c>
      <c r="N37" s="197">
        <f t="shared" si="19"/>
        <v>5544543</v>
      </c>
      <c r="O37" s="857">
        <f>SUM(C37:N37)</f>
        <v>79341337</v>
      </c>
      <c r="P37" s="120">
        <f t="shared" si="12"/>
        <v>30</v>
      </c>
    </row>
    <row r="38" spans="1:18" x14ac:dyDescent="0.35">
      <c r="A38" s="120">
        <f t="shared" si="10"/>
        <v>31</v>
      </c>
      <c r="B38" s="203" t="s">
        <v>7</v>
      </c>
      <c r="C38" s="117">
        <f t="shared" ref="C38:N38" si="20">C13*1000</f>
        <v>23180</v>
      </c>
      <c r="D38" s="197">
        <f t="shared" si="20"/>
        <v>8596</v>
      </c>
      <c r="E38" s="197">
        <f t="shared" si="20"/>
        <v>8464</v>
      </c>
      <c r="F38" s="197">
        <f t="shared" si="20"/>
        <v>0</v>
      </c>
      <c r="G38" s="197">
        <f t="shared" si="20"/>
        <v>6401</v>
      </c>
      <c r="H38" s="197">
        <f t="shared" si="20"/>
        <v>12553</v>
      </c>
      <c r="I38" s="197">
        <f t="shared" si="20"/>
        <v>6943</v>
      </c>
      <c r="J38" s="197">
        <f t="shared" si="20"/>
        <v>5359</v>
      </c>
      <c r="K38" s="197">
        <f t="shared" si="20"/>
        <v>8314</v>
      </c>
      <c r="L38" s="197">
        <f t="shared" si="20"/>
        <v>10739</v>
      </c>
      <c r="M38" s="197">
        <f t="shared" si="20"/>
        <v>11700</v>
      </c>
      <c r="N38" s="197">
        <f t="shared" si="20"/>
        <v>10777</v>
      </c>
      <c r="O38" s="857">
        <f>SUM(C38:N38)</f>
        <v>113026</v>
      </c>
      <c r="P38" s="120">
        <f t="shared" si="12"/>
        <v>31</v>
      </c>
      <c r="Q38" s="768"/>
    </row>
    <row r="39" spans="1:18" ht="18" thickBot="1" x14ac:dyDescent="0.4">
      <c r="A39" s="120">
        <f t="shared" si="10"/>
        <v>32</v>
      </c>
      <c r="B39" s="204" t="s">
        <v>255</v>
      </c>
      <c r="C39" s="205">
        <f>SUM(C31:C38)</f>
        <v>1583043702</v>
      </c>
      <c r="D39" s="206">
        <f t="shared" ref="D39:N39" si="21">SUM(D31:D38)</f>
        <v>1383424424</v>
      </c>
      <c r="E39" s="206">
        <f t="shared" si="21"/>
        <v>1524375833</v>
      </c>
      <c r="F39" s="206">
        <f t="shared" si="21"/>
        <v>1439117391</v>
      </c>
      <c r="G39" s="206">
        <f t="shared" si="21"/>
        <v>1168525650</v>
      </c>
      <c r="H39" s="206">
        <f t="shared" si="21"/>
        <v>1556454967</v>
      </c>
      <c r="I39" s="206">
        <f t="shared" si="21"/>
        <v>1193617091</v>
      </c>
      <c r="J39" s="206">
        <f t="shared" si="21"/>
        <v>1172386668</v>
      </c>
      <c r="K39" s="206">
        <f t="shared" si="21"/>
        <v>1462878841</v>
      </c>
      <c r="L39" s="206">
        <f t="shared" si="21"/>
        <v>1502716064</v>
      </c>
      <c r="M39" s="945">
        <f t="shared" si="21"/>
        <v>1826297633</v>
      </c>
      <c r="N39" s="945">
        <f t="shared" si="21"/>
        <v>1898289490.0000002</v>
      </c>
      <c r="O39" s="207">
        <f>SUM(O31:O38)</f>
        <v>17711127754</v>
      </c>
      <c r="P39" s="120">
        <f t="shared" si="12"/>
        <v>32</v>
      </c>
      <c r="Q39" s="768"/>
    </row>
    <row r="40" spans="1:18" ht="18" thickTop="1" x14ac:dyDescent="0.35">
      <c r="A40" s="120">
        <f t="shared" si="10"/>
        <v>33</v>
      </c>
      <c r="B40" s="208"/>
      <c r="C40" s="824"/>
      <c r="D40" s="201"/>
      <c r="E40" s="201"/>
      <c r="F40" s="201"/>
      <c r="G40" s="201"/>
      <c r="H40" s="201"/>
      <c r="I40" s="201"/>
      <c r="J40" s="201"/>
      <c r="K40" s="201"/>
      <c r="L40" s="201"/>
      <c r="M40" s="944"/>
      <c r="N40" s="948"/>
      <c r="O40" s="199"/>
      <c r="P40" s="120">
        <f t="shared" si="12"/>
        <v>33</v>
      </c>
    </row>
    <row r="41" spans="1:18" ht="18" thickBot="1" x14ac:dyDescent="0.4">
      <c r="A41" s="120">
        <f t="shared" si="10"/>
        <v>34</v>
      </c>
      <c r="B41" s="204" t="s">
        <v>256</v>
      </c>
      <c r="C41" s="209">
        <f>SUM(C31:C37)</f>
        <v>1583020522</v>
      </c>
      <c r="D41" s="210">
        <f>SUM(D31:D37)</f>
        <v>1383415828</v>
      </c>
      <c r="E41" s="210">
        <f t="shared" ref="E41:O41" si="22">SUM(E31:E37)</f>
        <v>1524367369</v>
      </c>
      <c r="F41" s="210">
        <f t="shared" si="22"/>
        <v>1439117391</v>
      </c>
      <c r="G41" s="210">
        <f t="shared" si="22"/>
        <v>1168519249</v>
      </c>
      <c r="H41" s="210">
        <f t="shared" si="22"/>
        <v>1556442414</v>
      </c>
      <c r="I41" s="210">
        <f t="shared" si="22"/>
        <v>1193610148</v>
      </c>
      <c r="J41" s="210">
        <f t="shared" si="22"/>
        <v>1172381309</v>
      </c>
      <c r="K41" s="210">
        <f t="shared" si="22"/>
        <v>1462870527</v>
      </c>
      <c r="L41" s="210">
        <f t="shared" si="22"/>
        <v>1502705325</v>
      </c>
      <c r="M41" s="946">
        <f t="shared" si="22"/>
        <v>1826285933</v>
      </c>
      <c r="N41" s="946">
        <f t="shared" si="22"/>
        <v>1898278713.0000002</v>
      </c>
      <c r="O41" s="211">
        <f t="shared" si="22"/>
        <v>17711014728</v>
      </c>
      <c r="P41" s="120">
        <f t="shared" si="12"/>
        <v>34</v>
      </c>
      <c r="Q41" s="768"/>
    </row>
    <row r="42" spans="1:18" ht="18.5" thickTop="1" thickBot="1" x14ac:dyDescent="0.4">
      <c r="A42" s="120">
        <f t="shared" si="10"/>
        <v>35</v>
      </c>
      <c r="B42" s="212"/>
      <c r="C42" s="212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213"/>
      <c r="O42" s="362"/>
      <c r="P42" s="120">
        <f t="shared" si="12"/>
        <v>35</v>
      </c>
      <c r="Q42" s="243"/>
      <c r="R42" s="890">
        <f>O41-'Stmnt BD - Recorded KWH'!E26</f>
        <v>0</v>
      </c>
    </row>
    <row r="43" spans="1:18" x14ac:dyDescent="0.35">
      <c r="A43" s="120">
        <f t="shared" si="10"/>
        <v>36</v>
      </c>
      <c r="B43" s="215" t="str">
        <f>B18</f>
        <v>INPUT FROM RECORDED SALES FILE:</v>
      </c>
      <c r="C43" s="216">
        <f>C30</f>
        <v>44470</v>
      </c>
      <c r="D43" s="217">
        <f t="shared" ref="D43:O43" si="23">D30</f>
        <v>44501</v>
      </c>
      <c r="E43" s="217">
        <f t="shared" si="23"/>
        <v>44531</v>
      </c>
      <c r="F43" s="217">
        <f t="shared" si="23"/>
        <v>44562</v>
      </c>
      <c r="G43" s="217">
        <f t="shared" si="23"/>
        <v>44593</v>
      </c>
      <c r="H43" s="217">
        <f t="shared" si="23"/>
        <v>44621</v>
      </c>
      <c r="I43" s="217">
        <f t="shared" si="23"/>
        <v>44652</v>
      </c>
      <c r="J43" s="217">
        <f t="shared" si="23"/>
        <v>44682</v>
      </c>
      <c r="K43" s="217">
        <f t="shared" si="23"/>
        <v>44713</v>
      </c>
      <c r="L43" s="217">
        <f t="shared" si="23"/>
        <v>44743</v>
      </c>
      <c r="M43" s="217">
        <f t="shared" si="23"/>
        <v>44774</v>
      </c>
      <c r="N43" s="217">
        <f t="shared" si="23"/>
        <v>44805</v>
      </c>
      <c r="O43" s="185" t="str">
        <f t="shared" si="23"/>
        <v>Total</v>
      </c>
      <c r="P43" s="120">
        <f t="shared" si="12"/>
        <v>36</v>
      </c>
    </row>
    <row r="44" spans="1:18" x14ac:dyDescent="0.35">
      <c r="A44" s="120">
        <f t="shared" si="10"/>
        <v>37</v>
      </c>
      <c r="B44" s="218" t="s">
        <v>264</v>
      </c>
      <c r="C44" s="219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23"/>
      <c r="P44" s="120">
        <f t="shared" si="12"/>
        <v>37</v>
      </c>
    </row>
    <row r="45" spans="1:18" x14ac:dyDescent="0.35">
      <c r="A45" s="120">
        <f t="shared" si="10"/>
        <v>38</v>
      </c>
      <c r="B45" s="125" t="s">
        <v>259</v>
      </c>
      <c r="C45" s="117">
        <f t="shared" ref="C45:N45" si="24">C20*1000</f>
        <v>0</v>
      </c>
      <c r="D45" s="197">
        <f t="shared" si="24"/>
        <v>0</v>
      </c>
      <c r="E45" s="197">
        <f t="shared" si="24"/>
        <v>0</v>
      </c>
      <c r="F45" s="197">
        <f t="shared" si="24"/>
        <v>0</v>
      </c>
      <c r="G45" s="197">
        <f t="shared" si="24"/>
        <v>0</v>
      </c>
      <c r="H45" s="197">
        <f t="shared" si="24"/>
        <v>0</v>
      </c>
      <c r="I45" s="197">
        <f t="shared" si="24"/>
        <v>0</v>
      </c>
      <c r="J45" s="197">
        <f t="shared" si="24"/>
        <v>0</v>
      </c>
      <c r="K45" s="197">
        <f t="shared" si="24"/>
        <v>0</v>
      </c>
      <c r="L45" s="197">
        <f t="shared" si="24"/>
        <v>0</v>
      </c>
      <c r="M45" s="197">
        <f t="shared" si="24"/>
        <v>0</v>
      </c>
      <c r="N45" s="197">
        <f t="shared" si="24"/>
        <v>0</v>
      </c>
      <c r="O45" s="857">
        <f>SUM(C45:N45)</f>
        <v>0</v>
      </c>
      <c r="P45" s="120">
        <f t="shared" si="12"/>
        <v>38</v>
      </c>
    </row>
    <row r="46" spans="1:18" x14ac:dyDescent="0.35">
      <c r="A46" s="120">
        <f t="shared" si="10"/>
        <v>39</v>
      </c>
      <c r="B46" s="125" t="s">
        <v>260</v>
      </c>
      <c r="C46" s="117">
        <f t="shared" ref="C46:N46" si="25">C21*1000</f>
        <v>855896122</v>
      </c>
      <c r="D46" s="197">
        <f t="shared" si="25"/>
        <v>744129422</v>
      </c>
      <c r="E46" s="197">
        <f t="shared" si="25"/>
        <v>777079835</v>
      </c>
      <c r="F46" s="197">
        <f t="shared" si="25"/>
        <v>676604330</v>
      </c>
      <c r="G46" s="197">
        <f t="shared" si="25"/>
        <v>554506052</v>
      </c>
      <c r="H46" s="197">
        <f t="shared" si="25"/>
        <v>880295117.00000012</v>
      </c>
      <c r="I46" s="197">
        <f t="shared" si="25"/>
        <v>684495994.00000012</v>
      </c>
      <c r="J46" s="197">
        <f t="shared" si="25"/>
        <v>616401793</v>
      </c>
      <c r="K46" s="197">
        <f t="shared" si="25"/>
        <v>854696098.99999988</v>
      </c>
      <c r="L46" s="197">
        <f t="shared" si="25"/>
        <v>792013888</v>
      </c>
      <c r="M46" s="197">
        <f t="shared" si="25"/>
        <v>902753917</v>
      </c>
      <c r="N46" s="197">
        <f t="shared" si="25"/>
        <v>853061129.59600008</v>
      </c>
      <c r="O46" s="199">
        <f>SUM(C46:N46)</f>
        <v>9191933698.5960007</v>
      </c>
      <c r="P46" s="120">
        <f t="shared" si="12"/>
        <v>39</v>
      </c>
    </row>
    <row r="47" spans="1:18" x14ac:dyDescent="0.35">
      <c r="A47" s="120">
        <f t="shared" si="10"/>
        <v>40</v>
      </c>
      <c r="B47" s="125" t="s">
        <v>261</v>
      </c>
      <c r="C47" s="117">
        <f t="shared" ref="C47:N47" si="26">C22*1000</f>
        <v>0</v>
      </c>
      <c r="D47" s="197">
        <f t="shared" si="26"/>
        <v>0</v>
      </c>
      <c r="E47" s="197">
        <f t="shared" si="26"/>
        <v>0</v>
      </c>
      <c r="F47" s="197">
        <f t="shared" si="26"/>
        <v>0</v>
      </c>
      <c r="G47" s="197">
        <f t="shared" si="26"/>
        <v>0</v>
      </c>
      <c r="H47" s="197">
        <f t="shared" si="26"/>
        <v>0</v>
      </c>
      <c r="I47" s="197">
        <f t="shared" si="26"/>
        <v>0</v>
      </c>
      <c r="J47" s="197">
        <f t="shared" si="26"/>
        <v>0</v>
      </c>
      <c r="K47" s="197">
        <f t="shared" si="26"/>
        <v>0</v>
      </c>
      <c r="L47" s="197">
        <f t="shared" si="26"/>
        <v>0</v>
      </c>
      <c r="M47" s="197">
        <f t="shared" si="26"/>
        <v>0</v>
      </c>
      <c r="N47" s="197">
        <f t="shared" si="26"/>
        <v>0</v>
      </c>
      <c r="O47" s="938">
        <f>SUM(C47:N47)</f>
        <v>0</v>
      </c>
      <c r="P47" s="120">
        <f t="shared" si="12"/>
        <v>40</v>
      </c>
    </row>
    <row r="48" spans="1:18" ht="18" thickBot="1" x14ac:dyDescent="0.4">
      <c r="A48" s="120">
        <f t="shared" si="10"/>
        <v>41</v>
      </c>
      <c r="B48" s="120" t="s">
        <v>18</v>
      </c>
      <c r="C48" s="221">
        <f>SUM(C45:C47)</f>
        <v>855896122</v>
      </c>
      <c r="D48" s="222">
        <f t="shared" ref="D48:O48" si="27">SUM(D45:D47)</f>
        <v>744129422</v>
      </c>
      <c r="E48" s="222">
        <f t="shared" si="27"/>
        <v>777079835</v>
      </c>
      <c r="F48" s="222">
        <f t="shared" si="27"/>
        <v>676604330</v>
      </c>
      <c r="G48" s="222">
        <f t="shared" si="27"/>
        <v>554506052</v>
      </c>
      <c r="H48" s="222">
        <f t="shared" si="27"/>
        <v>880295117.00000012</v>
      </c>
      <c r="I48" s="222">
        <f t="shared" si="27"/>
        <v>684495994.00000012</v>
      </c>
      <c r="J48" s="222">
        <f t="shared" si="27"/>
        <v>616401793</v>
      </c>
      <c r="K48" s="222">
        <f t="shared" si="27"/>
        <v>854696098.99999988</v>
      </c>
      <c r="L48" s="222">
        <f t="shared" si="27"/>
        <v>792013888</v>
      </c>
      <c r="M48" s="947">
        <f t="shared" si="27"/>
        <v>902753917</v>
      </c>
      <c r="N48" s="947">
        <f t="shared" si="27"/>
        <v>853061129.59600008</v>
      </c>
      <c r="O48" s="223">
        <f t="shared" si="27"/>
        <v>9191933698.5960007</v>
      </c>
      <c r="P48" s="120">
        <f t="shared" si="12"/>
        <v>41</v>
      </c>
    </row>
    <row r="49" spans="1:16" ht="18.5" thickTop="1" thickBot="1" x14ac:dyDescent="0.4">
      <c r="A49" s="121">
        <f>A48+1</f>
        <v>42</v>
      </c>
      <c r="B49" s="126"/>
      <c r="C49" s="212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124"/>
      <c r="P49" s="121">
        <f>P48+1</f>
        <v>42</v>
      </c>
    </row>
  </sheetData>
  <mergeCells count="4">
    <mergeCell ref="B2:O2"/>
    <mergeCell ref="B3:O3"/>
    <mergeCell ref="B27:O27"/>
    <mergeCell ref="B28:O28"/>
  </mergeCells>
  <printOptions horizontalCentered="1"/>
  <pageMargins left="0.25" right="0.25" top="0.5" bottom="0.5" header="0.25" footer="0.25"/>
  <pageSetup scale="50" orientation="landscape" r:id="rId1"/>
  <headerFooter scaleWithDoc="0" alignWithMargins="0">
    <oddFooter>&amp;L&amp;"Times New Roman,Regular"&amp;11&amp;F&amp;C&amp;"Times New Roman,Regular"&amp;11Page 1.1&amp;R&amp;"Times New Roman,Regular"&amp;11&amp;A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49"/>
  <sheetViews>
    <sheetView zoomScale="80" zoomScaleNormal="80" workbookViewId="0"/>
  </sheetViews>
  <sheetFormatPr defaultColWidth="9.453125" defaultRowHeight="17.5" x14ac:dyDescent="0.35"/>
  <cols>
    <col min="1" max="1" width="5.54296875" style="180" customWidth="1"/>
    <col min="2" max="2" width="50.54296875" style="180" customWidth="1"/>
    <col min="3" max="3" width="14.54296875" style="180" customWidth="1"/>
    <col min="4" max="15" width="15.54296875" style="180" customWidth="1"/>
    <col min="16" max="16" width="5.54296875" style="180" customWidth="1"/>
    <col min="17" max="17" width="3.81640625" style="180" bestFit="1" customWidth="1"/>
    <col min="18" max="18" width="5.54296875" style="180" bestFit="1" customWidth="1"/>
    <col min="19" max="16384" width="9.453125" style="180"/>
  </cols>
  <sheetData>
    <row r="1" spans="1:16" ht="18" thickBot="1" x14ac:dyDescent="0.4"/>
    <row r="2" spans="1:16" ht="25" x14ac:dyDescent="0.5">
      <c r="A2" s="597" t="s">
        <v>8</v>
      </c>
      <c r="B2" s="973" t="s">
        <v>247</v>
      </c>
      <c r="C2" s="974"/>
      <c r="D2" s="974"/>
      <c r="E2" s="974"/>
      <c r="F2" s="974"/>
      <c r="G2" s="974"/>
      <c r="H2" s="974"/>
      <c r="I2" s="974"/>
      <c r="J2" s="974"/>
      <c r="K2" s="974"/>
      <c r="L2" s="974"/>
      <c r="M2" s="974"/>
      <c r="N2" s="974"/>
      <c r="O2" s="975"/>
      <c r="P2" s="597" t="s">
        <v>8</v>
      </c>
    </row>
    <row r="3" spans="1:16" ht="25.5" thickBot="1" x14ac:dyDescent="0.55000000000000004">
      <c r="A3" s="181" t="s">
        <v>11</v>
      </c>
      <c r="B3" s="976" t="s">
        <v>487</v>
      </c>
      <c r="C3" s="977"/>
      <c r="D3" s="977"/>
      <c r="E3" s="977"/>
      <c r="F3" s="977"/>
      <c r="G3" s="977"/>
      <c r="H3" s="977"/>
      <c r="I3" s="977"/>
      <c r="J3" s="977"/>
      <c r="K3" s="977"/>
      <c r="L3" s="977"/>
      <c r="M3" s="977"/>
      <c r="N3" s="977"/>
      <c r="O3" s="978"/>
      <c r="P3" s="181" t="s">
        <v>11</v>
      </c>
    </row>
    <row r="4" spans="1:16" x14ac:dyDescent="0.35">
      <c r="A4" s="120">
        <v>1</v>
      </c>
      <c r="B4" s="417" t="s">
        <v>248</v>
      </c>
      <c r="C4" s="602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22"/>
      <c r="P4" s="120">
        <v>1</v>
      </c>
    </row>
    <row r="5" spans="1:16" x14ac:dyDescent="0.35">
      <c r="A5" s="120">
        <f>A4+1</f>
        <v>2</v>
      </c>
      <c r="B5" s="184" t="s">
        <v>249</v>
      </c>
      <c r="C5" s="217">
        <v>44927</v>
      </c>
      <c r="D5" s="217">
        <v>44958</v>
      </c>
      <c r="E5" s="217">
        <v>44986</v>
      </c>
      <c r="F5" s="217">
        <v>45017</v>
      </c>
      <c r="G5" s="217">
        <v>45047</v>
      </c>
      <c r="H5" s="217">
        <v>45078</v>
      </c>
      <c r="I5" s="217">
        <v>45108</v>
      </c>
      <c r="J5" s="217">
        <v>45139</v>
      </c>
      <c r="K5" s="217">
        <v>45170</v>
      </c>
      <c r="L5" s="217">
        <v>45200</v>
      </c>
      <c r="M5" s="217">
        <v>45231</v>
      </c>
      <c r="N5" s="217">
        <v>45261</v>
      </c>
      <c r="O5" s="185" t="s">
        <v>18</v>
      </c>
      <c r="P5" s="120">
        <f>P4+1</f>
        <v>2</v>
      </c>
    </row>
    <row r="6" spans="1:16" x14ac:dyDescent="0.35">
      <c r="A6" s="120">
        <f>A5+1</f>
        <v>3</v>
      </c>
      <c r="B6" s="149" t="s">
        <v>250</v>
      </c>
      <c r="C6" s="93">
        <v>570432.15850000002</v>
      </c>
      <c r="D6" s="93">
        <v>480488.06510000001</v>
      </c>
      <c r="E6" s="93">
        <v>454817.74609999999</v>
      </c>
      <c r="F6" s="93">
        <v>411956.3505</v>
      </c>
      <c r="G6" s="93">
        <v>414552.22960000002</v>
      </c>
      <c r="H6" s="93">
        <v>434513.2574</v>
      </c>
      <c r="I6" s="93">
        <v>507882.99160000001</v>
      </c>
      <c r="J6" s="93">
        <v>559981.30180000002</v>
      </c>
      <c r="K6" s="93">
        <v>617135.73589999997</v>
      </c>
      <c r="L6" s="93">
        <v>523094.41590000002</v>
      </c>
      <c r="M6" s="93">
        <v>454942.26760000002</v>
      </c>
      <c r="N6" s="93">
        <v>497185.69709999999</v>
      </c>
      <c r="O6" s="857">
        <f>SUM(C6:N6)</f>
        <v>5926982.2171</v>
      </c>
      <c r="P6" s="120">
        <f>P5+1</f>
        <v>3</v>
      </c>
    </row>
    <row r="7" spans="1:16" x14ac:dyDescent="0.35">
      <c r="A7" s="120">
        <f t="shared" ref="A7:A23" si="0">A6+1</f>
        <v>4</v>
      </c>
      <c r="B7" s="149" t="s">
        <v>251</v>
      </c>
      <c r="C7" s="93">
        <v>157781.56469999999</v>
      </c>
      <c r="D7" s="93">
        <v>148316.06460000001</v>
      </c>
      <c r="E7" s="93">
        <v>152953.9762</v>
      </c>
      <c r="F7" s="93">
        <v>149696.72150000001</v>
      </c>
      <c r="G7" s="93">
        <v>152788.85500000001</v>
      </c>
      <c r="H7" s="93">
        <v>165026.97289999999</v>
      </c>
      <c r="I7" s="93">
        <v>170032.16930000001</v>
      </c>
      <c r="J7" s="93">
        <v>185278.17800000001</v>
      </c>
      <c r="K7" s="93">
        <v>193594.78529999999</v>
      </c>
      <c r="L7" s="93">
        <v>175933.33540000001</v>
      </c>
      <c r="M7" s="93">
        <v>160686.796</v>
      </c>
      <c r="N7" s="93">
        <v>159930.7561</v>
      </c>
      <c r="O7" s="857">
        <f>SUM(C7:N7)</f>
        <v>1972020.1750000003</v>
      </c>
      <c r="P7" s="120">
        <f t="shared" ref="P7:P23" si="1">P6+1</f>
        <v>4</v>
      </c>
    </row>
    <row r="8" spans="1:16" x14ac:dyDescent="0.35">
      <c r="A8" s="120">
        <f t="shared" si="0"/>
        <v>5</v>
      </c>
      <c r="B8" s="149" t="s">
        <v>265</v>
      </c>
      <c r="C8" s="918">
        <v>685887.69990000001</v>
      </c>
      <c r="D8" s="918">
        <v>663365.38829999999</v>
      </c>
      <c r="E8" s="918">
        <v>630700.80110000004</v>
      </c>
      <c r="F8" s="918">
        <v>717401.78379999998</v>
      </c>
      <c r="G8" s="918">
        <v>667047.24270000006</v>
      </c>
      <c r="H8" s="918">
        <v>741907.10270000005</v>
      </c>
      <c r="I8" s="918">
        <v>771025.89040000003</v>
      </c>
      <c r="J8" s="918">
        <v>785073.39319999993</v>
      </c>
      <c r="K8" s="918">
        <v>864688.70570000005</v>
      </c>
      <c r="L8" s="918">
        <v>791410.5708000001</v>
      </c>
      <c r="M8" s="918">
        <v>728326.9852</v>
      </c>
      <c r="N8" s="918">
        <v>719849.67720000003</v>
      </c>
      <c r="O8" s="857">
        <f>SUM(C8:N8)</f>
        <v>8766685.2410000004</v>
      </c>
      <c r="P8" s="120">
        <f t="shared" si="1"/>
        <v>5</v>
      </c>
    </row>
    <row r="9" spans="1:16" x14ac:dyDescent="0.35">
      <c r="A9" s="120">
        <f t="shared" si="0"/>
        <v>6</v>
      </c>
      <c r="B9" s="149" t="s">
        <v>488</v>
      </c>
      <c r="C9" s="918">
        <v>333</v>
      </c>
      <c r="D9" s="918">
        <v>461</v>
      </c>
      <c r="E9" s="918">
        <v>185</v>
      </c>
      <c r="F9" s="918">
        <v>1520</v>
      </c>
      <c r="G9" s="918">
        <v>2419</v>
      </c>
      <c r="H9" s="918">
        <v>703</v>
      </c>
      <c r="I9" s="918">
        <v>0</v>
      </c>
      <c r="J9" s="918">
        <v>0</v>
      </c>
      <c r="K9" s="918">
        <v>0</v>
      </c>
      <c r="L9" s="918">
        <v>0</v>
      </c>
      <c r="M9" s="918">
        <v>0</v>
      </c>
      <c r="N9" s="918">
        <v>0</v>
      </c>
      <c r="O9" s="857">
        <f>SUM(C9:N9)</f>
        <v>5621</v>
      </c>
      <c r="P9" s="120">
        <f t="shared" si="1"/>
        <v>6</v>
      </c>
    </row>
    <row r="10" spans="1:16" x14ac:dyDescent="0.35">
      <c r="A10" s="120">
        <f t="shared" si="0"/>
        <v>7</v>
      </c>
      <c r="B10" s="149" t="s">
        <v>253</v>
      </c>
      <c r="C10" s="918">
        <v>7884.2916999999998</v>
      </c>
      <c r="D10" s="918">
        <v>8279.3065999999999</v>
      </c>
      <c r="E10" s="918">
        <v>7984.53</v>
      </c>
      <c r="F10" s="918">
        <v>8656.6713</v>
      </c>
      <c r="G10" s="918">
        <v>10513.7713</v>
      </c>
      <c r="H10" s="918">
        <v>12953.252699999999</v>
      </c>
      <c r="I10" s="918">
        <v>14199.1592</v>
      </c>
      <c r="J10" s="918">
        <v>14576.0028</v>
      </c>
      <c r="K10" s="918">
        <v>15132.2161</v>
      </c>
      <c r="L10" s="918">
        <v>13596.9665</v>
      </c>
      <c r="M10" s="918">
        <v>11840.222599999999</v>
      </c>
      <c r="N10" s="918">
        <v>9659.5928999999996</v>
      </c>
      <c r="O10" s="857">
        <f t="shared" ref="O10:O12" si="2">SUM(C10:N10)</f>
        <v>135275.98369999998</v>
      </c>
      <c r="P10" s="120">
        <f t="shared" si="1"/>
        <v>7</v>
      </c>
    </row>
    <row r="11" spans="1:16" x14ac:dyDescent="0.35">
      <c r="A11" s="120">
        <f t="shared" si="0"/>
        <v>8</v>
      </c>
      <c r="B11" s="149" t="s">
        <v>106</v>
      </c>
      <c r="C11" s="918">
        <v>12111.3976</v>
      </c>
      <c r="D11" s="918">
        <v>11913.713100000001</v>
      </c>
      <c r="E11" s="918">
        <v>13360.6679</v>
      </c>
      <c r="F11" s="918">
        <v>12077.745500000001</v>
      </c>
      <c r="G11" s="918">
        <v>14495.2274</v>
      </c>
      <c r="H11" s="918">
        <v>18579.562699999999</v>
      </c>
      <c r="I11" s="918">
        <v>16200.938</v>
      </c>
      <c r="J11" s="918">
        <v>22200.896799999999</v>
      </c>
      <c r="K11" s="918">
        <v>18499.6813</v>
      </c>
      <c r="L11" s="918">
        <v>18596.376499999998</v>
      </c>
      <c r="M11" s="918">
        <v>14739.23</v>
      </c>
      <c r="N11" s="918">
        <v>14660.01</v>
      </c>
      <c r="O11" s="857">
        <f t="shared" si="2"/>
        <v>187435.44680000001</v>
      </c>
      <c r="P11" s="120">
        <f t="shared" si="1"/>
        <v>8</v>
      </c>
    </row>
    <row r="12" spans="1:16" x14ac:dyDescent="0.35">
      <c r="A12" s="120">
        <f t="shared" si="0"/>
        <v>9</v>
      </c>
      <c r="B12" s="149" t="s">
        <v>254</v>
      </c>
      <c r="C12" s="918">
        <v>5619.3697000000002</v>
      </c>
      <c r="D12" s="918">
        <v>7739.5843000000004</v>
      </c>
      <c r="E12" s="918">
        <v>6245.4432999999999</v>
      </c>
      <c r="F12" s="918">
        <v>6712.9246999999996</v>
      </c>
      <c r="G12" s="918">
        <v>6627.0478000000003</v>
      </c>
      <c r="H12" s="918">
        <v>6680.0104000000001</v>
      </c>
      <c r="I12" s="918">
        <v>6357.2936</v>
      </c>
      <c r="J12" s="918">
        <v>4756.5252</v>
      </c>
      <c r="K12" s="918">
        <v>7243.1152000000002</v>
      </c>
      <c r="L12" s="918">
        <v>6049.5785999999998</v>
      </c>
      <c r="M12" s="918">
        <v>6917.9596000000001</v>
      </c>
      <c r="N12" s="918">
        <v>7380.2673000000004</v>
      </c>
      <c r="O12" s="857">
        <f t="shared" si="2"/>
        <v>78329.119699999996</v>
      </c>
      <c r="P12" s="120">
        <f t="shared" si="1"/>
        <v>9</v>
      </c>
    </row>
    <row r="13" spans="1:16" x14ac:dyDescent="0.35">
      <c r="A13" s="120">
        <f t="shared" si="0"/>
        <v>10</v>
      </c>
      <c r="B13" s="761" t="s">
        <v>7</v>
      </c>
      <c r="C13" s="917">
        <v>5.37</v>
      </c>
      <c r="D13" s="918">
        <v>2.952</v>
      </c>
      <c r="E13" s="918">
        <v>5.6840000000000002</v>
      </c>
      <c r="F13" s="918">
        <v>3.016</v>
      </c>
      <c r="G13" s="918">
        <v>4.0199999999999996</v>
      </c>
      <c r="H13" s="918">
        <v>6.4370000000000003</v>
      </c>
      <c r="I13" s="918">
        <v>5.1710000000000003</v>
      </c>
      <c r="J13" s="918">
        <v>5.73</v>
      </c>
      <c r="K13" s="918">
        <v>5.9420000000000002</v>
      </c>
      <c r="L13" s="918">
        <v>6.08</v>
      </c>
      <c r="M13" s="918">
        <v>4.7240000000000002</v>
      </c>
      <c r="N13" s="918">
        <v>6.1790000000000003</v>
      </c>
      <c r="O13" s="918">
        <f>SUM(C13:N13)</f>
        <v>61.304999999999993</v>
      </c>
      <c r="P13" s="120">
        <f t="shared" si="1"/>
        <v>10</v>
      </c>
    </row>
    <row r="14" spans="1:16" ht="18" thickBot="1" x14ac:dyDescent="0.4">
      <c r="A14" s="120">
        <f t="shared" si="0"/>
        <v>11</v>
      </c>
      <c r="B14" s="204" t="s">
        <v>255</v>
      </c>
      <c r="C14" s="205">
        <f t="shared" ref="C14:O14" si="3">SUM(C6:C13)</f>
        <v>1440054.8521</v>
      </c>
      <c r="D14" s="206">
        <f t="shared" si="3"/>
        <v>1320566.0740000003</v>
      </c>
      <c r="E14" s="206">
        <f t="shared" si="3"/>
        <v>1266253.8485999999</v>
      </c>
      <c r="F14" s="206">
        <f t="shared" si="3"/>
        <v>1308025.2133000002</v>
      </c>
      <c r="G14" s="206">
        <f t="shared" si="3"/>
        <v>1268447.3938</v>
      </c>
      <c r="H14" s="206">
        <f t="shared" si="3"/>
        <v>1380369.5958</v>
      </c>
      <c r="I14" s="206">
        <f t="shared" si="3"/>
        <v>1485703.6131000002</v>
      </c>
      <c r="J14" s="206">
        <f t="shared" si="3"/>
        <v>1571872.0278</v>
      </c>
      <c r="K14" s="206">
        <f t="shared" si="3"/>
        <v>1716300.1815000002</v>
      </c>
      <c r="L14" s="206">
        <f t="shared" si="3"/>
        <v>1528687.3237000001</v>
      </c>
      <c r="M14" s="206">
        <f t="shared" si="3"/>
        <v>1377458.1849999998</v>
      </c>
      <c r="N14" s="206">
        <f t="shared" si="3"/>
        <v>1408672.1796000001</v>
      </c>
      <c r="O14" s="207">
        <f t="shared" si="3"/>
        <v>17072410.488300003</v>
      </c>
      <c r="P14" s="120">
        <f t="shared" si="1"/>
        <v>11</v>
      </c>
    </row>
    <row r="15" spans="1:16" ht="18" thickTop="1" x14ac:dyDescent="0.35">
      <c r="A15" s="120">
        <f t="shared" si="0"/>
        <v>12</v>
      </c>
      <c r="B15" s="204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199"/>
      <c r="P15" s="120">
        <f t="shared" si="1"/>
        <v>12</v>
      </c>
    </row>
    <row r="16" spans="1:16" ht="18" thickBot="1" x14ac:dyDescent="0.4">
      <c r="A16" s="120">
        <f t="shared" si="0"/>
        <v>13</v>
      </c>
      <c r="B16" s="204" t="s">
        <v>256</v>
      </c>
      <c r="C16" s="210">
        <f t="shared" ref="C16:O16" si="4">SUM(C6:C12)</f>
        <v>1440049.4820999999</v>
      </c>
      <c r="D16" s="210">
        <f t="shared" si="4"/>
        <v>1320563.1220000002</v>
      </c>
      <c r="E16" s="210">
        <f t="shared" si="4"/>
        <v>1266248.1646</v>
      </c>
      <c r="F16" s="210">
        <f t="shared" si="4"/>
        <v>1308022.1973000001</v>
      </c>
      <c r="G16" s="210">
        <f t="shared" si="4"/>
        <v>1268443.3737999999</v>
      </c>
      <c r="H16" s="210">
        <f t="shared" si="4"/>
        <v>1380363.1588000001</v>
      </c>
      <c r="I16" s="210">
        <f t="shared" si="4"/>
        <v>1485698.4421000001</v>
      </c>
      <c r="J16" s="210">
        <f t="shared" si="4"/>
        <v>1571866.2978000001</v>
      </c>
      <c r="K16" s="210">
        <f t="shared" si="4"/>
        <v>1716294.2395000001</v>
      </c>
      <c r="L16" s="210">
        <f t="shared" si="4"/>
        <v>1528681.2437</v>
      </c>
      <c r="M16" s="210">
        <f t="shared" si="4"/>
        <v>1377453.4609999999</v>
      </c>
      <c r="N16" s="210">
        <f t="shared" si="4"/>
        <v>1408666.0006000001</v>
      </c>
      <c r="O16" s="211">
        <f t="shared" si="4"/>
        <v>17072349.183300003</v>
      </c>
      <c r="P16" s="120">
        <f t="shared" si="1"/>
        <v>13</v>
      </c>
    </row>
    <row r="17" spans="1:18" ht="18.5" thickTop="1" thickBot="1" x14ac:dyDescent="0.4">
      <c r="A17" s="120">
        <f t="shared" si="0"/>
        <v>14</v>
      </c>
      <c r="B17" s="126"/>
      <c r="C17" s="31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213"/>
      <c r="O17" s="214"/>
      <c r="P17" s="120">
        <f t="shared" si="1"/>
        <v>14</v>
      </c>
    </row>
    <row r="18" spans="1:18" x14ac:dyDescent="0.35">
      <c r="A18" s="120">
        <f t="shared" si="0"/>
        <v>15</v>
      </c>
      <c r="B18" s="215" t="s">
        <v>266</v>
      </c>
      <c r="C18" s="216">
        <f t="shared" ref="C18:O18" si="5">C5</f>
        <v>44927</v>
      </c>
      <c r="D18" s="217">
        <f t="shared" si="5"/>
        <v>44958</v>
      </c>
      <c r="E18" s="217">
        <f t="shared" si="5"/>
        <v>44986</v>
      </c>
      <c r="F18" s="217">
        <f t="shared" si="5"/>
        <v>45017</v>
      </c>
      <c r="G18" s="217">
        <f t="shared" si="5"/>
        <v>45047</v>
      </c>
      <c r="H18" s="217">
        <f t="shared" si="5"/>
        <v>45078</v>
      </c>
      <c r="I18" s="217">
        <f t="shared" si="5"/>
        <v>45108</v>
      </c>
      <c r="J18" s="217">
        <f t="shared" si="5"/>
        <v>45139</v>
      </c>
      <c r="K18" s="217">
        <f t="shared" si="5"/>
        <v>45170</v>
      </c>
      <c r="L18" s="217">
        <f t="shared" si="5"/>
        <v>45200</v>
      </c>
      <c r="M18" s="217">
        <f t="shared" si="5"/>
        <v>45231</v>
      </c>
      <c r="N18" s="217">
        <f t="shared" si="5"/>
        <v>45261</v>
      </c>
      <c r="O18" s="185" t="str">
        <f t="shared" si="5"/>
        <v>Total</v>
      </c>
      <c r="P18" s="120">
        <f t="shared" si="1"/>
        <v>15</v>
      </c>
    </row>
    <row r="19" spans="1:18" x14ac:dyDescent="0.35">
      <c r="A19" s="120">
        <f t="shared" si="0"/>
        <v>16</v>
      </c>
      <c r="B19" s="218" t="s">
        <v>258</v>
      </c>
      <c r="C19" s="219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123"/>
      <c r="P19" s="120">
        <f t="shared" si="1"/>
        <v>16</v>
      </c>
    </row>
    <row r="20" spans="1:18" x14ac:dyDescent="0.35">
      <c r="A20" s="120">
        <f t="shared" si="0"/>
        <v>17</v>
      </c>
      <c r="B20" s="125" t="s">
        <v>259</v>
      </c>
      <c r="C20" s="117">
        <v>0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20">
        <f>SUM(C20:N20)</f>
        <v>0</v>
      </c>
      <c r="P20" s="120">
        <f t="shared" si="1"/>
        <v>17</v>
      </c>
    </row>
    <row r="21" spans="1:18" x14ac:dyDescent="0.35">
      <c r="A21" s="120">
        <f t="shared" si="0"/>
        <v>18</v>
      </c>
      <c r="B21" s="125" t="s">
        <v>260</v>
      </c>
      <c r="C21" s="117">
        <v>614478.08660000004</v>
      </c>
      <c r="D21" s="93">
        <v>599831.62410000002</v>
      </c>
      <c r="E21" s="93">
        <v>543842.93420000002</v>
      </c>
      <c r="F21" s="93">
        <v>645287.87280000001</v>
      </c>
      <c r="G21" s="93">
        <v>598632.46200000006</v>
      </c>
      <c r="H21" s="93">
        <v>668369.82120000001</v>
      </c>
      <c r="I21" s="93">
        <v>696549.34920000006</v>
      </c>
      <c r="J21" s="93">
        <v>714467.74769999995</v>
      </c>
      <c r="K21" s="93">
        <v>780190.65919999999</v>
      </c>
      <c r="L21" s="93">
        <v>703083.53280000004</v>
      </c>
      <c r="M21" s="93">
        <v>656761.5675</v>
      </c>
      <c r="N21" s="93">
        <v>640614.31099999999</v>
      </c>
      <c r="O21" s="199">
        <f>SUM(C21:N21)</f>
        <v>7862109.9682999998</v>
      </c>
      <c r="P21" s="120">
        <f t="shared" si="1"/>
        <v>18</v>
      </c>
    </row>
    <row r="22" spans="1:18" x14ac:dyDescent="0.35">
      <c r="A22" s="120">
        <f t="shared" si="0"/>
        <v>19</v>
      </c>
      <c r="B22" s="125" t="s">
        <v>261</v>
      </c>
      <c r="C22" s="117">
        <v>71409.613299999997</v>
      </c>
      <c r="D22" s="482">
        <v>63533.764199999998</v>
      </c>
      <c r="E22" s="482">
        <v>86857.866899999994</v>
      </c>
      <c r="F22" s="482">
        <v>72113.910999999993</v>
      </c>
      <c r="G22" s="482">
        <v>68414.780700000003</v>
      </c>
      <c r="H22" s="482">
        <v>73537.281499999997</v>
      </c>
      <c r="I22" s="482">
        <v>74476.541200000007</v>
      </c>
      <c r="J22" s="482">
        <v>70605.645499999999</v>
      </c>
      <c r="K22" s="482">
        <v>84498.046499999997</v>
      </c>
      <c r="L22" s="482">
        <v>88327.038</v>
      </c>
      <c r="M22" s="482">
        <v>71565.417700000005</v>
      </c>
      <c r="N22" s="482">
        <v>79235.366200000004</v>
      </c>
      <c r="O22" s="199">
        <f>SUM(C22:N22)</f>
        <v>904575.27269999997</v>
      </c>
      <c r="P22" s="120">
        <f t="shared" si="1"/>
        <v>19</v>
      </c>
    </row>
    <row r="23" spans="1:18" x14ac:dyDescent="0.35">
      <c r="A23" s="120">
        <f t="shared" si="0"/>
        <v>20</v>
      </c>
      <c r="B23" s="120" t="s">
        <v>18</v>
      </c>
      <c r="C23" s="225">
        <f>SUM(C20:C22)</f>
        <v>685887.69990000001</v>
      </c>
      <c r="D23" s="220">
        <f t="shared" ref="D23:O23" si="6">SUM(D20:D22)</f>
        <v>663365.38829999999</v>
      </c>
      <c r="E23" s="220">
        <f t="shared" si="6"/>
        <v>630700.80110000004</v>
      </c>
      <c r="F23" s="220">
        <f t="shared" si="6"/>
        <v>717401.78379999998</v>
      </c>
      <c r="G23" s="220">
        <f t="shared" si="6"/>
        <v>667047.24270000006</v>
      </c>
      <c r="H23" s="220">
        <f t="shared" si="6"/>
        <v>741907.10270000005</v>
      </c>
      <c r="I23" s="220">
        <f t="shared" si="6"/>
        <v>771025.89040000003</v>
      </c>
      <c r="J23" s="220">
        <f t="shared" si="6"/>
        <v>785073.39319999993</v>
      </c>
      <c r="K23" s="220">
        <f t="shared" si="6"/>
        <v>864688.70570000005</v>
      </c>
      <c r="L23" s="220">
        <f t="shared" si="6"/>
        <v>791410.5708000001</v>
      </c>
      <c r="M23" s="220">
        <f t="shared" si="6"/>
        <v>728326.9852</v>
      </c>
      <c r="N23" s="220">
        <f t="shared" si="6"/>
        <v>719849.67720000003</v>
      </c>
      <c r="O23" s="226">
        <f t="shared" si="6"/>
        <v>8766685.2410000004</v>
      </c>
      <c r="P23" s="120">
        <f t="shared" si="1"/>
        <v>20</v>
      </c>
    </row>
    <row r="24" spans="1:18" ht="18" thickBot="1" x14ac:dyDescent="0.4">
      <c r="A24" s="121">
        <f>A23+1</f>
        <v>21</v>
      </c>
      <c r="B24" s="126"/>
      <c r="C24" s="212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124"/>
      <c r="P24" s="121">
        <f>P23+1</f>
        <v>21</v>
      </c>
    </row>
    <row r="26" spans="1:18" ht="18" thickBot="1" x14ac:dyDescent="0.4"/>
    <row r="27" spans="1:18" x14ac:dyDescent="0.35">
      <c r="A27" s="150" t="s">
        <v>8</v>
      </c>
      <c r="B27" s="979" t="s">
        <v>262</v>
      </c>
      <c r="C27" s="980"/>
      <c r="D27" s="980"/>
      <c r="E27" s="980"/>
      <c r="F27" s="980"/>
      <c r="G27" s="980"/>
      <c r="H27" s="980"/>
      <c r="I27" s="980"/>
      <c r="J27" s="980"/>
      <c r="K27" s="980"/>
      <c r="L27" s="980"/>
      <c r="M27" s="980"/>
      <c r="N27" s="980"/>
      <c r="O27" s="981"/>
      <c r="P27" s="150" t="s">
        <v>8</v>
      </c>
    </row>
    <row r="28" spans="1:18" ht="18" thickBot="1" x14ac:dyDescent="0.4">
      <c r="A28" s="121" t="s">
        <v>11</v>
      </c>
      <c r="B28" s="982" t="str">
        <f>B3</f>
        <v>Forecast Billing Determinants for the 12-Month Period: January 2023- December 2023</v>
      </c>
      <c r="C28" s="983"/>
      <c r="D28" s="983"/>
      <c r="E28" s="983"/>
      <c r="F28" s="983"/>
      <c r="G28" s="983"/>
      <c r="H28" s="983"/>
      <c r="I28" s="983"/>
      <c r="J28" s="983"/>
      <c r="K28" s="983"/>
      <c r="L28" s="983"/>
      <c r="M28" s="983"/>
      <c r="N28" s="983"/>
      <c r="O28" s="984"/>
      <c r="P28" s="121" t="s">
        <v>11</v>
      </c>
    </row>
    <row r="29" spans="1:18" x14ac:dyDescent="0.35">
      <c r="A29" s="120">
        <f>A24+1</f>
        <v>22</v>
      </c>
      <c r="B29" s="182" t="s">
        <v>248</v>
      </c>
      <c r="C29" s="224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22"/>
      <c r="P29" s="120">
        <f>P24+1</f>
        <v>22</v>
      </c>
    </row>
    <row r="30" spans="1:18" x14ac:dyDescent="0.35">
      <c r="A30" s="120">
        <f>A29+1</f>
        <v>23</v>
      </c>
      <c r="B30" s="184" t="s">
        <v>263</v>
      </c>
      <c r="C30" s="216">
        <f t="shared" ref="C30:N30" si="7">C5</f>
        <v>44927</v>
      </c>
      <c r="D30" s="217">
        <f t="shared" si="7"/>
        <v>44958</v>
      </c>
      <c r="E30" s="217">
        <f t="shared" si="7"/>
        <v>44986</v>
      </c>
      <c r="F30" s="217">
        <f t="shared" si="7"/>
        <v>45017</v>
      </c>
      <c r="G30" s="217">
        <f t="shared" si="7"/>
        <v>45047</v>
      </c>
      <c r="H30" s="217">
        <f t="shared" si="7"/>
        <v>45078</v>
      </c>
      <c r="I30" s="217">
        <f t="shared" si="7"/>
        <v>45108</v>
      </c>
      <c r="J30" s="217">
        <f t="shared" si="7"/>
        <v>45139</v>
      </c>
      <c r="K30" s="217">
        <f t="shared" si="7"/>
        <v>45170</v>
      </c>
      <c r="L30" s="217">
        <f t="shared" si="7"/>
        <v>45200</v>
      </c>
      <c r="M30" s="217">
        <f t="shared" si="7"/>
        <v>45231</v>
      </c>
      <c r="N30" s="217">
        <f t="shared" si="7"/>
        <v>45261</v>
      </c>
      <c r="O30" s="185" t="s">
        <v>18</v>
      </c>
      <c r="P30" s="120">
        <f>P29+1</f>
        <v>23</v>
      </c>
      <c r="Q30" s="767"/>
    </row>
    <row r="31" spans="1:18" x14ac:dyDescent="0.35">
      <c r="A31" s="120">
        <f>A30+1</f>
        <v>24</v>
      </c>
      <c r="B31" s="149" t="s">
        <v>250</v>
      </c>
      <c r="C31" s="198">
        <f t="shared" ref="C31:N31" si="8">C6*1000</f>
        <v>570432158.5</v>
      </c>
      <c r="D31" s="177">
        <f t="shared" si="8"/>
        <v>480488065.10000002</v>
      </c>
      <c r="E31" s="177">
        <f t="shared" si="8"/>
        <v>454817746.09999996</v>
      </c>
      <c r="F31" s="177">
        <f t="shared" si="8"/>
        <v>411956350.5</v>
      </c>
      <c r="G31" s="177">
        <f t="shared" si="8"/>
        <v>414552229.60000002</v>
      </c>
      <c r="H31" s="177">
        <f t="shared" si="8"/>
        <v>434513257.39999998</v>
      </c>
      <c r="I31" s="177">
        <f t="shared" si="8"/>
        <v>507882991.60000002</v>
      </c>
      <c r="J31" s="177">
        <f t="shared" si="8"/>
        <v>559981301.80000007</v>
      </c>
      <c r="K31" s="177">
        <f t="shared" si="8"/>
        <v>617135735.89999998</v>
      </c>
      <c r="L31" s="177">
        <f t="shared" si="8"/>
        <v>523094415.90000004</v>
      </c>
      <c r="M31" s="177">
        <f t="shared" si="8"/>
        <v>454942267.60000002</v>
      </c>
      <c r="N31" s="177">
        <f t="shared" si="8"/>
        <v>497185697.09999996</v>
      </c>
      <c r="O31" s="199">
        <f>SUM(C31:N31)</f>
        <v>5926982217.1000004</v>
      </c>
      <c r="P31" s="120">
        <f>P30+1</f>
        <v>24</v>
      </c>
      <c r="Q31" s="767"/>
      <c r="R31" s="768"/>
    </row>
    <row r="32" spans="1:18" x14ac:dyDescent="0.35">
      <c r="A32" s="120">
        <f t="shared" ref="A32:A48" si="9">A31+1</f>
        <v>25</v>
      </c>
      <c r="B32" s="149" t="s">
        <v>251</v>
      </c>
      <c r="C32" s="198">
        <f t="shared" ref="C32:N32" si="10">C7*1000</f>
        <v>157781564.69999999</v>
      </c>
      <c r="D32" s="177">
        <f t="shared" si="10"/>
        <v>148316064.60000002</v>
      </c>
      <c r="E32" s="177">
        <f t="shared" si="10"/>
        <v>152953976.20000002</v>
      </c>
      <c r="F32" s="177">
        <f t="shared" si="10"/>
        <v>149696721.5</v>
      </c>
      <c r="G32" s="177">
        <f t="shared" si="10"/>
        <v>152788855</v>
      </c>
      <c r="H32" s="177">
        <f t="shared" si="10"/>
        <v>165026972.90000001</v>
      </c>
      <c r="I32" s="177">
        <f t="shared" si="10"/>
        <v>170032169.30000001</v>
      </c>
      <c r="J32" s="177">
        <f t="shared" si="10"/>
        <v>185278178</v>
      </c>
      <c r="K32" s="177">
        <f t="shared" si="10"/>
        <v>193594785.29999998</v>
      </c>
      <c r="L32" s="177">
        <f t="shared" si="10"/>
        <v>175933335.40000001</v>
      </c>
      <c r="M32" s="177">
        <f t="shared" si="10"/>
        <v>160686796</v>
      </c>
      <c r="N32" s="177">
        <f t="shared" si="10"/>
        <v>159930756.09999999</v>
      </c>
      <c r="O32" s="199">
        <f>SUM(C32:N32)</f>
        <v>1972020175</v>
      </c>
      <c r="P32" s="120">
        <f t="shared" ref="P32:P48" si="11">P31+1</f>
        <v>25</v>
      </c>
    </row>
    <row r="33" spans="1:18" x14ac:dyDescent="0.35">
      <c r="A33" s="120">
        <f t="shared" si="9"/>
        <v>26</v>
      </c>
      <c r="B33" s="149" t="s">
        <v>252</v>
      </c>
      <c r="C33" s="200">
        <f>C48</f>
        <v>685887699.89999998</v>
      </c>
      <c r="D33" s="201">
        <f>D48</f>
        <v>663365388.30000007</v>
      </c>
      <c r="E33" s="201">
        <f t="shared" ref="E33:N33" si="12">E48</f>
        <v>630700801.10000002</v>
      </c>
      <c r="F33" s="201">
        <f t="shared" si="12"/>
        <v>717401783.79999995</v>
      </c>
      <c r="G33" s="201">
        <f t="shared" si="12"/>
        <v>667047242.70000005</v>
      </c>
      <c r="H33" s="201">
        <f t="shared" si="12"/>
        <v>741907102.70000005</v>
      </c>
      <c r="I33" s="201">
        <f t="shared" si="12"/>
        <v>771025890.4000001</v>
      </c>
      <c r="J33" s="201">
        <f t="shared" si="12"/>
        <v>785073393.19999993</v>
      </c>
      <c r="K33" s="201">
        <f t="shared" si="12"/>
        <v>864688705.70000005</v>
      </c>
      <c r="L33" s="201">
        <f t="shared" si="12"/>
        <v>791410570.80000007</v>
      </c>
      <c r="M33" s="201">
        <f t="shared" si="12"/>
        <v>728326985.20000005</v>
      </c>
      <c r="N33" s="201">
        <f t="shared" si="12"/>
        <v>719849677.20000005</v>
      </c>
      <c r="O33" s="199">
        <f>SUM(C33:N33)</f>
        <v>8766685241</v>
      </c>
      <c r="P33" s="120">
        <f t="shared" si="11"/>
        <v>26</v>
      </c>
    </row>
    <row r="34" spans="1:18" x14ac:dyDescent="0.35">
      <c r="A34" s="120">
        <f t="shared" si="9"/>
        <v>27</v>
      </c>
      <c r="B34" s="202" t="s">
        <v>488</v>
      </c>
      <c r="C34" s="198">
        <f t="shared" ref="C34:N35" si="13">C9*1000</f>
        <v>333000</v>
      </c>
      <c r="D34" s="201">
        <f t="shared" si="13"/>
        <v>461000</v>
      </c>
      <c r="E34" s="201">
        <f t="shared" si="13"/>
        <v>185000</v>
      </c>
      <c r="F34" s="201">
        <f t="shared" si="13"/>
        <v>1520000</v>
      </c>
      <c r="G34" s="201">
        <f t="shared" si="13"/>
        <v>2419000</v>
      </c>
      <c r="H34" s="201">
        <f t="shared" si="13"/>
        <v>703000</v>
      </c>
      <c r="I34" s="944">
        <f t="shared" si="13"/>
        <v>0</v>
      </c>
      <c r="J34" s="944">
        <f t="shared" si="13"/>
        <v>0</v>
      </c>
      <c r="K34" s="944">
        <f t="shared" si="13"/>
        <v>0</v>
      </c>
      <c r="L34" s="944">
        <f t="shared" si="13"/>
        <v>0</v>
      </c>
      <c r="M34" s="944">
        <f t="shared" si="13"/>
        <v>0</v>
      </c>
      <c r="N34" s="944">
        <f t="shared" si="13"/>
        <v>0</v>
      </c>
      <c r="O34" s="199">
        <f>SUM(C34:N34)</f>
        <v>5621000</v>
      </c>
      <c r="P34" s="120">
        <f t="shared" si="11"/>
        <v>27</v>
      </c>
    </row>
    <row r="35" spans="1:18" x14ac:dyDescent="0.35">
      <c r="A35" s="120">
        <f t="shared" si="9"/>
        <v>28</v>
      </c>
      <c r="B35" s="202" t="s">
        <v>253</v>
      </c>
      <c r="C35" s="198">
        <f t="shared" si="13"/>
        <v>7884291.7000000002</v>
      </c>
      <c r="D35" s="177">
        <f t="shared" si="13"/>
        <v>8279306.5999999996</v>
      </c>
      <c r="E35" s="177">
        <f t="shared" si="13"/>
        <v>7984530</v>
      </c>
      <c r="F35" s="177">
        <f t="shared" si="13"/>
        <v>8656671.3000000007</v>
      </c>
      <c r="G35" s="177">
        <f t="shared" si="13"/>
        <v>10513771.300000001</v>
      </c>
      <c r="H35" s="177">
        <f t="shared" si="13"/>
        <v>12953252.699999999</v>
      </c>
      <c r="I35" s="177">
        <f t="shared" si="13"/>
        <v>14199159.199999999</v>
      </c>
      <c r="J35" s="177">
        <f t="shared" si="13"/>
        <v>14576002.800000001</v>
      </c>
      <c r="K35" s="177">
        <f t="shared" si="13"/>
        <v>15132216.1</v>
      </c>
      <c r="L35" s="177">
        <f t="shared" si="13"/>
        <v>13596966.5</v>
      </c>
      <c r="M35" s="177">
        <f t="shared" si="13"/>
        <v>11840222.6</v>
      </c>
      <c r="N35" s="177">
        <f t="shared" si="13"/>
        <v>9659592.9000000004</v>
      </c>
      <c r="O35" s="199">
        <f t="shared" ref="O35:O36" si="14">SUM(C35:N35)</f>
        <v>135275983.69999999</v>
      </c>
      <c r="P35" s="120">
        <f t="shared" si="11"/>
        <v>28</v>
      </c>
    </row>
    <row r="36" spans="1:18" x14ac:dyDescent="0.35">
      <c r="A36" s="120">
        <f t="shared" si="9"/>
        <v>29</v>
      </c>
      <c r="B36" s="202" t="s">
        <v>106</v>
      </c>
      <c r="C36" s="198">
        <f t="shared" ref="C36:N36" si="15">C11*1000</f>
        <v>12111397.6</v>
      </c>
      <c r="D36" s="177">
        <f t="shared" si="15"/>
        <v>11913713.100000001</v>
      </c>
      <c r="E36" s="177">
        <f t="shared" si="15"/>
        <v>13360667.9</v>
      </c>
      <c r="F36" s="177">
        <f t="shared" si="15"/>
        <v>12077745.5</v>
      </c>
      <c r="G36" s="177">
        <f t="shared" si="15"/>
        <v>14495227.4</v>
      </c>
      <c r="H36" s="177">
        <f t="shared" si="15"/>
        <v>18579562.699999999</v>
      </c>
      <c r="I36" s="177">
        <f t="shared" si="15"/>
        <v>16200938</v>
      </c>
      <c r="J36" s="177">
        <f t="shared" si="15"/>
        <v>22200896.799999997</v>
      </c>
      <c r="K36" s="177">
        <f t="shared" si="15"/>
        <v>18499681.300000001</v>
      </c>
      <c r="L36" s="177">
        <f t="shared" si="15"/>
        <v>18596376.5</v>
      </c>
      <c r="M36" s="177">
        <f t="shared" si="15"/>
        <v>14739230</v>
      </c>
      <c r="N36" s="177">
        <f t="shared" si="15"/>
        <v>14660010</v>
      </c>
      <c r="O36" s="199">
        <f t="shared" si="14"/>
        <v>187435446.80000001</v>
      </c>
      <c r="P36" s="120">
        <f t="shared" si="11"/>
        <v>29</v>
      </c>
    </row>
    <row r="37" spans="1:18" x14ac:dyDescent="0.35">
      <c r="A37" s="120">
        <f t="shared" si="9"/>
        <v>30</v>
      </c>
      <c r="B37" s="149" t="s">
        <v>254</v>
      </c>
      <c r="C37" s="198">
        <f t="shared" ref="C37:N37" si="16">C12*1000</f>
        <v>5619369.7000000002</v>
      </c>
      <c r="D37" s="177">
        <f t="shared" si="16"/>
        <v>7739584.3000000007</v>
      </c>
      <c r="E37" s="177">
        <f t="shared" si="16"/>
        <v>6245443.2999999998</v>
      </c>
      <c r="F37" s="177">
        <f t="shared" si="16"/>
        <v>6712924.6999999993</v>
      </c>
      <c r="G37" s="177">
        <f t="shared" si="16"/>
        <v>6627047.8000000007</v>
      </c>
      <c r="H37" s="177">
        <f t="shared" si="16"/>
        <v>6680010.4000000004</v>
      </c>
      <c r="I37" s="177">
        <f t="shared" si="16"/>
        <v>6357293.5999999996</v>
      </c>
      <c r="J37" s="177">
        <f t="shared" si="16"/>
        <v>4756525.2</v>
      </c>
      <c r="K37" s="177">
        <f t="shared" si="16"/>
        <v>7243115.2000000002</v>
      </c>
      <c r="L37" s="177">
        <f t="shared" si="16"/>
        <v>6049578.5999999996</v>
      </c>
      <c r="M37" s="177">
        <f t="shared" si="16"/>
        <v>6917959.6000000006</v>
      </c>
      <c r="N37" s="177">
        <f t="shared" si="16"/>
        <v>7380267.3000000007</v>
      </c>
      <c r="O37" s="199">
        <f>SUM(C37:N37)</f>
        <v>78329119.700000003</v>
      </c>
      <c r="P37" s="120">
        <f t="shared" si="11"/>
        <v>30</v>
      </c>
    </row>
    <row r="38" spans="1:18" x14ac:dyDescent="0.35">
      <c r="A38" s="120">
        <f t="shared" si="9"/>
        <v>31</v>
      </c>
      <c r="B38" s="203" t="s">
        <v>7</v>
      </c>
      <c r="C38" s="198">
        <f t="shared" ref="C38:N38" si="17">C13*1000</f>
        <v>5370</v>
      </c>
      <c r="D38" s="177">
        <f t="shared" si="17"/>
        <v>2952</v>
      </c>
      <c r="E38" s="177">
        <f t="shared" si="17"/>
        <v>5684</v>
      </c>
      <c r="F38" s="177">
        <f t="shared" si="17"/>
        <v>3016</v>
      </c>
      <c r="G38" s="177">
        <f t="shared" si="17"/>
        <v>4019.9999999999995</v>
      </c>
      <c r="H38" s="177">
        <f t="shared" si="17"/>
        <v>6437</v>
      </c>
      <c r="I38" s="177">
        <f t="shared" si="17"/>
        <v>5171</v>
      </c>
      <c r="J38" s="177">
        <f t="shared" si="17"/>
        <v>5730</v>
      </c>
      <c r="K38" s="177">
        <f t="shared" si="17"/>
        <v>5942</v>
      </c>
      <c r="L38" s="177">
        <f t="shared" si="17"/>
        <v>6080</v>
      </c>
      <c r="M38" s="177">
        <f t="shared" si="17"/>
        <v>4724</v>
      </c>
      <c r="N38" s="177">
        <f t="shared" si="17"/>
        <v>6179</v>
      </c>
      <c r="O38" s="199">
        <f>SUM(C38:N38)</f>
        <v>61305</v>
      </c>
      <c r="P38" s="120">
        <f t="shared" si="11"/>
        <v>31</v>
      </c>
      <c r="Q38" s="769"/>
    </row>
    <row r="39" spans="1:18" ht="18" thickBot="1" x14ac:dyDescent="0.4">
      <c r="A39" s="120">
        <f t="shared" si="9"/>
        <v>32</v>
      </c>
      <c r="B39" s="204" t="s">
        <v>255</v>
      </c>
      <c r="C39" s="205">
        <f>SUM(C31:C38)</f>
        <v>1440054852.0999999</v>
      </c>
      <c r="D39" s="206">
        <f t="shared" ref="D39:N39" si="18">SUM(D31:D38)</f>
        <v>1320566073.9999998</v>
      </c>
      <c r="E39" s="206">
        <f t="shared" si="18"/>
        <v>1266253848.6000001</v>
      </c>
      <c r="F39" s="206">
        <f t="shared" si="18"/>
        <v>1308025213.3</v>
      </c>
      <c r="G39" s="206">
        <f t="shared" si="18"/>
        <v>1268447393.8000002</v>
      </c>
      <c r="H39" s="206">
        <f t="shared" si="18"/>
        <v>1380369595.8000002</v>
      </c>
      <c r="I39" s="206">
        <f t="shared" si="18"/>
        <v>1485703613.1000001</v>
      </c>
      <c r="J39" s="206">
        <f t="shared" si="18"/>
        <v>1571872027.8</v>
      </c>
      <c r="K39" s="206">
        <f t="shared" si="18"/>
        <v>1716300181.5</v>
      </c>
      <c r="L39" s="206">
        <f t="shared" si="18"/>
        <v>1528687323.7</v>
      </c>
      <c r="M39" s="206">
        <f t="shared" si="18"/>
        <v>1377458185</v>
      </c>
      <c r="N39" s="206">
        <f t="shared" si="18"/>
        <v>1408672179.6000001</v>
      </c>
      <c r="O39" s="207">
        <f>SUM(O31:O38)</f>
        <v>17072410488.300001</v>
      </c>
      <c r="P39" s="120">
        <f t="shared" si="11"/>
        <v>32</v>
      </c>
      <c r="Q39" s="769"/>
    </row>
    <row r="40" spans="1:18" ht="18" thickTop="1" x14ac:dyDescent="0.35">
      <c r="A40" s="120">
        <f t="shared" si="9"/>
        <v>33</v>
      </c>
      <c r="B40" s="208"/>
      <c r="C40" s="200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199"/>
      <c r="P40" s="120">
        <f t="shared" si="11"/>
        <v>33</v>
      </c>
      <c r="Q40" s="453"/>
    </row>
    <row r="41" spans="1:18" ht="18" thickBot="1" x14ac:dyDescent="0.4">
      <c r="A41" s="120">
        <f t="shared" si="9"/>
        <v>34</v>
      </c>
      <c r="B41" s="204" t="s">
        <v>256</v>
      </c>
      <c r="C41" s="209">
        <f>SUM(C31:C37)</f>
        <v>1440049482.0999999</v>
      </c>
      <c r="D41" s="210">
        <f>SUM(D31:D37)</f>
        <v>1320563121.9999998</v>
      </c>
      <c r="E41" s="210">
        <f t="shared" ref="E41:O41" si="19">SUM(E31:E37)</f>
        <v>1266248164.6000001</v>
      </c>
      <c r="F41" s="210">
        <f t="shared" si="19"/>
        <v>1308022197.3</v>
      </c>
      <c r="G41" s="210">
        <f t="shared" si="19"/>
        <v>1268443373.8000002</v>
      </c>
      <c r="H41" s="210">
        <f t="shared" si="19"/>
        <v>1380363158.8000002</v>
      </c>
      <c r="I41" s="210">
        <f t="shared" si="19"/>
        <v>1485698442.1000001</v>
      </c>
      <c r="J41" s="210">
        <f t="shared" si="19"/>
        <v>1571866297.8</v>
      </c>
      <c r="K41" s="210">
        <f t="shared" si="19"/>
        <v>1716294239.5</v>
      </c>
      <c r="L41" s="210">
        <f t="shared" si="19"/>
        <v>1528681243.7</v>
      </c>
      <c r="M41" s="210">
        <f t="shared" si="19"/>
        <v>1377453461</v>
      </c>
      <c r="N41" s="210">
        <f t="shared" si="19"/>
        <v>1408666000.6000001</v>
      </c>
      <c r="O41" s="211">
        <f t="shared" si="19"/>
        <v>17072349183.300001</v>
      </c>
      <c r="P41" s="120">
        <f t="shared" si="11"/>
        <v>34</v>
      </c>
      <c r="Q41" s="769"/>
    </row>
    <row r="42" spans="1:18" ht="18.5" thickTop="1" thickBot="1" x14ac:dyDescent="0.4">
      <c r="A42" s="120">
        <f t="shared" si="9"/>
        <v>35</v>
      </c>
      <c r="B42" s="212"/>
      <c r="C42" s="212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213"/>
      <c r="O42" s="362"/>
      <c r="P42" s="120">
        <f t="shared" si="11"/>
        <v>35</v>
      </c>
      <c r="Q42" s="243"/>
      <c r="R42" s="890">
        <f>O41-'Stmnt BD - Forecast KWH'!E26</f>
        <v>0</v>
      </c>
    </row>
    <row r="43" spans="1:18" x14ac:dyDescent="0.35">
      <c r="A43" s="120">
        <f t="shared" si="9"/>
        <v>36</v>
      </c>
      <c r="B43" s="215" t="s">
        <v>266</v>
      </c>
      <c r="C43" s="216">
        <f>C30</f>
        <v>44927</v>
      </c>
      <c r="D43" s="217">
        <f t="shared" ref="D43:O43" si="20">D30</f>
        <v>44958</v>
      </c>
      <c r="E43" s="217">
        <f t="shared" si="20"/>
        <v>44986</v>
      </c>
      <c r="F43" s="217">
        <f t="shared" si="20"/>
        <v>45017</v>
      </c>
      <c r="G43" s="217">
        <f t="shared" si="20"/>
        <v>45047</v>
      </c>
      <c r="H43" s="217">
        <f t="shared" si="20"/>
        <v>45078</v>
      </c>
      <c r="I43" s="217">
        <f t="shared" si="20"/>
        <v>45108</v>
      </c>
      <c r="J43" s="217">
        <f t="shared" si="20"/>
        <v>45139</v>
      </c>
      <c r="K43" s="217">
        <f t="shared" si="20"/>
        <v>45170</v>
      </c>
      <c r="L43" s="217">
        <f t="shared" si="20"/>
        <v>45200</v>
      </c>
      <c r="M43" s="217">
        <f t="shared" si="20"/>
        <v>45231</v>
      </c>
      <c r="N43" s="217">
        <f t="shared" si="20"/>
        <v>45261</v>
      </c>
      <c r="O43" s="185" t="str">
        <f t="shared" si="20"/>
        <v>Total</v>
      </c>
      <c r="P43" s="120">
        <f t="shared" si="11"/>
        <v>36</v>
      </c>
    </row>
    <row r="44" spans="1:18" x14ac:dyDescent="0.35">
      <c r="A44" s="120">
        <f t="shared" si="9"/>
        <v>37</v>
      </c>
      <c r="B44" s="218" t="s">
        <v>264</v>
      </c>
      <c r="C44" s="219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23"/>
      <c r="P44" s="120">
        <f t="shared" si="11"/>
        <v>37</v>
      </c>
    </row>
    <row r="45" spans="1:18" x14ac:dyDescent="0.35">
      <c r="A45" s="120">
        <f t="shared" si="9"/>
        <v>38</v>
      </c>
      <c r="B45" s="125" t="s">
        <v>259</v>
      </c>
      <c r="C45" s="117">
        <f t="shared" ref="C45:N45" si="21">C20*1000</f>
        <v>0</v>
      </c>
      <c r="D45" s="197">
        <f t="shared" si="21"/>
        <v>0</v>
      </c>
      <c r="E45" s="197">
        <f t="shared" si="21"/>
        <v>0</v>
      </c>
      <c r="F45" s="197">
        <f t="shared" si="21"/>
        <v>0</v>
      </c>
      <c r="G45" s="197">
        <f t="shared" si="21"/>
        <v>0</v>
      </c>
      <c r="H45" s="197">
        <f t="shared" si="21"/>
        <v>0</v>
      </c>
      <c r="I45" s="197">
        <f t="shared" si="21"/>
        <v>0</v>
      </c>
      <c r="J45" s="197">
        <f t="shared" si="21"/>
        <v>0</v>
      </c>
      <c r="K45" s="197">
        <f t="shared" si="21"/>
        <v>0</v>
      </c>
      <c r="L45" s="197">
        <f t="shared" si="21"/>
        <v>0</v>
      </c>
      <c r="M45" s="197">
        <f t="shared" si="21"/>
        <v>0</v>
      </c>
      <c r="N45" s="197">
        <f t="shared" si="21"/>
        <v>0</v>
      </c>
      <c r="O45" s="857">
        <f>SUM(C45:N45)</f>
        <v>0</v>
      </c>
      <c r="P45" s="120">
        <f t="shared" si="11"/>
        <v>38</v>
      </c>
    </row>
    <row r="46" spans="1:18" x14ac:dyDescent="0.35">
      <c r="A46" s="120">
        <f t="shared" si="9"/>
        <v>39</v>
      </c>
      <c r="B46" s="125" t="s">
        <v>260</v>
      </c>
      <c r="C46" s="117">
        <f t="shared" ref="C46:N46" si="22">C21*1000</f>
        <v>614478086.60000002</v>
      </c>
      <c r="D46" s="197">
        <f t="shared" si="22"/>
        <v>599831624.10000002</v>
      </c>
      <c r="E46" s="197">
        <f t="shared" si="22"/>
        <v>543842934.20000005</v>
      </c>
      <c r="F46" s="197">
        <f t="shared" si="22"/>
        <v>645287872.79999995</v>
      </c>
      <c r="G46" s="197">
        <f t="shared" si="22"/>
        <v>598632462</v>
      </c>
      <c r="H46" s="197">
        <f t="shared" si="22"/>
        <v>668369821.20000005</v>
      </c>
      <c r="I46" s="197">
        <f t="shared" si="22"/>
        <v>696549349.20000005</v>
      </c>
      <c r="J46" s="197">
        <f t="shared" si="22"/>
        <v>714467747.69999993</v>
      </c>
      <c r="K46" s="197">
        <f t="shared" si="22"/>
        <v>780190659.20000005</v>
      </c>
      <c r="L46" s="197">
        <f t="shared" si="22"/>
        <v>703083532.80000007</v>
      </c>
      <c r="M46" s="197">
        <f t="shared" si="22"/>
        <v>656761567.5</v>
      </c>
      <c r="N46" s="197">
        <f t="shared" si="22"/>
        <v>640614311</v>
      </c>
      <c r="O46" s="857">
        <f>SUM(C46:N46)</f>
        <v>7862109968.2999992</v>
      </c>
      <c r="P46" s="120">
        <f t="shared" si="11"/>
        <v>39</v>
      </c>
    </row>
    <row r="47" spans="1:18" x14ac:dyDescent="0.35">
      <c r="A47" s="120">
        <f t="shared" si="9"/>
        <v>40</v>
      </c>
      <c r="B47" s="125" t="s">
        <v>261</v>
      </c>
      <c r="C47" s="117">
        <f t="shared" ref="C47:N47" si="23">C22*1000</f>
        <v>71409613.299999997</v>
      </c>
      <c r="D47" s="197">
        <f t="shared" si="23"/>
        <v>63533764.199999996</v>
      </c>
      <c r="E47" s="197">
        <f t="shared" si="23"/>
        <v>86857866.899999991</v>
      </c>
      <c r="F47" s="197">
        <f t="shared" si="23"/>
        <v>72113911</v>
      </c>
      <c r="G47" s="197">
        <f t="shared" si="23"/>
        <v>68414780.700000003</v>
      </c>
      <c r="H47" s="197">
        <f t="shared" si="23"/>
        <v>73537281.5</v>
      </c>
      <c r="I47" s="197">
        <f t="shared" si="23"/>
        <v>74476541.200000003</v>
      </c>
      <c r="J47" s="197">
        <f t="shared" si="23"/>
        <v>70605645.5</v>
      </c>
      <c r="K47" s="197">
        <f t="shared" si="23"/>
        <v>84498046.5</v>
      </c>
      <c r="L47" s="197">
        <f t="shared" si="23"/>
        <v>88327038</v>
      </c>
      <c r="M47" s="197">
        <f t="shared" si="23"/>
        <v>71565417.700000003</v>
      </c>
      <c r="N47" s="197">
        <f t="shared" si="23"/>
        <v>79235366.200000003</v>
      </c>
      <c r="O47" s="857">
        <f>SUM(C47:N47)</f>
        <v>904575272.70000005</v>
      </c>
      <c r="P47" s="120">
        <f t="shared" si="11"/>
        <v>40</v>
      </c>
    </row>
    <row r="48" spans="1:18" ht="18" thickBot="1" x14ac:dyDescent="0.4">
      <c r="A48" s="120">
        <f t="shared" si="9"/>
        <v>41</v>
      </c>
      <c r="B48" s="120" t="s">
        <v>18</v>
      </c>
      <c r="C48" s="221">
        <f>SUM(C45:C47)</f>
        <v>685887699.89999998</v>
      </c>
      <c r="D48" s="222">
        <f t="shared" ref="D48:O48" si="24">SUM(D45:D47)</f>
        <v>663365388.30000007</v>
      </c>
      <c r="E48" s="222">
        <f t="shared" si="24"/>
        <v>630700801.10000002</v>
      </c>
      <c r="F48" s="222">
        <f t="shared" si="24"/>
        <v>717401783.79999995</v>
      </c>
      <c r="G48" s="222">
        <f t="shared" si="24"/>
        <v>667047242.70000005</v>
      </c>
      <c r="H48" s="222">
        <f t="shared" si="24"/>
        <v>741907102.70000005</v>
      </c>
      <c r="I48" s="222">
        <f t="shared" si="24"/>
        <v>771025890.4000001</v>
      </c>
      <c r="J48" s="222">
        <f t="shared" si="24"/>
        <v>785073393.19999993</v>
      </c>
      <c r="K48" s="222">
        <f t="shared" si="24"/>
        <v>864688705.70000005</v>
      </c>
      <c r="L48" s="222">
        <f t="shared" si="24"/>
        <v>791410570.80000007</v>
      </c>
      <c r="M48" s="222">
        <f t="shared" si="24"/>
        <v>728326985.20000005</v>
      </c>
      <c r="N48" s="222">
        <f t="shared" si="24"/>
        <v>719849677.20000005</v>
      </c>
      <c r="O48" s="223">
        <f t="shared" si="24"/>
        <v>8766685241</v>
      </c>
      <c r="P48" s="120">
        <f t="shared" si="11"/>
        <v>41</v>
      </c>
    </row>
    <row r="49" spans="1:16" ht="18.5" thickTop="1" thickBot="1" x14ac:dyDescent="0.4">
      <c r="A49" s="121">
        <f>A48+1</f>
        <v>42</v>
      </c>
      <c r="B49" s="126"/>
      <c r="C49" s="212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124"/>
      <c r="P49" s="121">
        <f>P48+1</f>
        <v>42</v>
      </c>
    </row>
  </sheetData>
  <mergeCells count="4">
    <mergeCell ref="B2:O2"/>
    <mergeCell ref="B3:O3"/>
    <mergeCell ref="B27:O27"/>
    <mergeCell ref="B28:O28"/>
  </mergeCells>
  <printOptions horizontalCentered="1"/>
  <pageMargins left="0.25" right="0.25" top="0.5" bottom="0.5" header="0.25" footer="0.25"/>
  <pageSetup scale="52" orientation="landscape" r:id="rId1"/>
  <headerFooter scaleWithDoc="0" alignWithMargins="0">
    <oddFooter>&amp;L&amp;"Times New Roman,Regular"&amp;11&amp;F&amp;C&amp;"Times New Roman,Regular"&amp;11Page 1.2&amp;R&amp;"Times New Roman,Regular"&amp;11&amp;A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29"/>
  <sheetViews>
    <sheetView zoomScale="80" zoomScaleNormal="80" zoomScaleSheetLayoutView="100" workbookViewId="0"/>
  </sheetViews>
  <sheetFormatPr defaultColWidth="8.54296875" defaultRowHeight="13" x14ac:dyDescent="0.3"/>
  <cols>
    <col min="1" max="1" width="5.54296875" style="1" customWidth="1"/>
    <col min="2" max="2" width="52.54296875" style="2" customWidth="1"/>
    <col min="3" max="3" width="18.54296875" style="2" customWidth="1"/>
    <col min="4" max="4" width="21.453125" style="1" bestFit="1" customWidth="1"/>
    <col min="5" max="5" width="20.54296875" style="1" bestFit="1" customWidth="1"/>
    <col min="6" max="6" width="18.54296875" style="1" customWidth="1"/>
    <col min="7" max="7" width="36.1796875" style="1" customWidth="1"/>
    <col min="8" max="8" width="5.54296875" style="1" customWidth="1"/>
    <col min="9" max="10" width="15.54296875" style="1" customWidth="1"/>
    <col min="11" max="16384" width="8.54296875" style="1"/>
  </cols>
  <sheetData>
    <row r="1" spans="1:8" ht="15" x14ac:dyDescent="0.3">
      <c r="B1" s="5"/>
      <c r="C1" s="5"/>
      <c r="D1" s="6"/>
      <c r="E1" s="6"/>
      <c r="F1" s="6"/>
      <c r="G1" s="6"/>
    </row>
    <row r="2" spans="1:8" ht="15" x14ac:dyDescent="0.3">
      <c r="B2" s="5" t="s">
        <v>1</v>
      </c>
      <c r="C2" s="5"/>
      <c r="D2" s="6"/>
      <c r="E2" s="6"/>
      <c r="F2" s="6"/>
      <c r="G2" s="6"/>
    </row>
    <row r="3" spans="1:8" ht="15.75" customHeight="1" x14ac:dyDescent="0.3">
      <c r="B3" s="970" t="str">
        <f>'Stmnt BD - Recorded KWH'!A4</f>
        <v>2023 - TRBAA Rate Filing</v>
      </c>
      <c r="C3" s="970"/>
      <c r="D3" s="970"/>
      <c r="E3" s="970"/>
      <c r="F3" s="970"/>
      <c r="G3" s="970"/>
    </row>
    <row r="4" spans="1:8" ht="15" x14ac:dyDescent="0.3">
      <c r="B4" s="5" t="s">
        <v>267</v>
      </c>
      <c r="C4" s="5"/>
      <c r="D4" s="6"/>
      <c r="E4" s="6"/>
      <c r="F4" s="6"/>
      <c r="G4" s="6"/>
    </row>
    <row r="5" spans="1:8" ht="15.5" thickBot="1" x14ac:dyDescent="0.35">
      <c r="B5" s="5"/>
      <c r="C5" s="5"/>
      <c r="D5" s="6"/>
      <c r="E5" s="6"/>
      <c r="F5" s="6"/>
      <c r="G5" s="6"/>
    </row>
    <row r="6" spans="1:8" ht="15" x14ac:dyDescent="0.3">
      <c r="A6" s="287"/>
      <c r="B6" s="589"/>
      <c r="C6" s="547" t="s">
        <v>3</v>
      </c>
      <c r="D6" s="547" t="s">
        <v>4</v>
      </c>
      <c r="E6" s="547" t="s">
        <v>114</v>
      </c>
      <c r="F6" s="547" t="s">
        <v>115</v>
      </c>
      <c r="G6" s="456"/>
      <c r="H6" s="548"/>
    </row>
    <row r="7" spans="1:8" ht="15" x14ac:dyDescent="0.3">
      <c r="A7" s="551" t="s">
        <v>8</v>
      </c>
      <c r="B7" s="75"/>
      <c r="C7" s="75" t="s">
        <v>268</v>
      </c>
      <c r="D7" s="587" t="s">
        <v>232</v>
      </c>
      <c r="E7" s="587" t="s">
        <v>233</v>
      </c>
      <c r="F7" s="75"/>
      <c r="G7" s="587"/>
      <c r="H7" s="552" t="s">
        <v>8</v>
      </c>
    </row>
    <row r="8" spans="1:8" ht="15.5" thickBot="1" x14ac:dyDescent="0.35">
      <c r="A8" s="569" t="s">
        <v>11</v>
      </c>
      <c r="B8" s="153" t="s">
        <v>174</v>
      </c>
      <c r="C8" s="153" t="s">
        <v>269</v>
      </c>
      <c r="D8" s="593" t="s">
        <v>270</v>
      </c>
      <c r="E8" s="593" t="s">
        <v>270</v>
      </c>
      <c r="F8" s="153" t="s">
        <v>18</v>
      </c>
      <c r="G8" s="593" t="s">
        <v>16</v>
      </c>
      <c r="H8" s="570" t="s">
        <v>11</v>
      </c>
    </row>
    <row r="9" spans="1:8" ht="15.5" x14ac:dyDescent="0.35">
      <c r="A9" s="333"/>
      <c r="B9" s="10"/>
      <c r="C9" s="75"/>
      <c r="D9" s="19"/>
      <c r="E9" s="19"/>
      <c r="F9" s="10"/>
      <c r="G9" s="23"/>
      <c r="H9" s="349"/>
    </row>
    <row r="10" spans="1:8" ht="16" thickBot="1" x14ac:dyDescent="0.4">
      <c r="A10" s="263">
        <v>1</v>
      </c>
      <c r="B10" s="18" t="s">
        <v>489</v>
      </c>
      <c r="C10" s="42">
        <f>'WP 4 Monthly TRBAA '!O38</f>
        <v>-11932441.577928549</v>
      </c>
      <c r="D10" s="19"/>
      <c r="E10" s="19"/>
      <c r="F10" s="24"/>
      <c r="G10" s="23" t="s">
        <v>176</v>
      </c>
      <c r="H10" s="264">
        <v>1</v>
      </c>
    </row>
    <row r="11" spans="1:8" ht="16" thickTop="1" x14ac:dyDescent="0.35">
      <c r="A11" s="263">
        <f t="shared" ref="A11:A24" si="0">A10+1</f>
        <v>2</v>
      </c>
      <c r="B11" s="18"/>
      <c r="C11" s="18"/>
      <c r="D11" s="19"/>
      <c r="E11" s="19"/>
      <c r="F11" s="24"/>
      <c r="G11" s="23"/>
      <c r="H11" s="264">
        <f t="shared" ref="H11:H22" si="1">H10+1</f>
        <v>2</v>
      </c>
    </row>
    <row r="12" spans="1:8" ht="15.5" x14ac:dyDescent="0.35">
      <c r="A12" s="263">
        <f t="shared" si="0"/>
        <v>3</v>
      </c>
      <c r="B12" s="18" t="s">
        <v>271</v>
      </c>
      <c r="C12" s="821"/>
      <c r="D12" s="44">
        <f>'WP 6 HV LV Alloc Summary'!C26</f>
        <v>-29346878.879999995</v>
      </c>
      <c r="E12" s="44">
        <f>'WP 6 HV LV Alloc Summary'!D26</f>
        <v>0</v>
      </c>
      <c r="F12" s="399">
        <f>SUM(D12:E12)</f>
        <v>-29346878.879999995</v>
      </c>
      <c r="G12" s="745" t="s">
        <v>209</v>
      </c>
      <c r="H12" s="264">
        <f t="shared" si="1"/>
        <v>3</v>
      </c>
    </row>
    <row r="13" spans="1:8" ht="15.5" x14ac:dyDescent="0.35">
      <c r="A13" s="263">
        <f t="shared" si="0"/>
        <v>4</v>
      </c>
      <c r="B13" s="18"/>
      <c r="C13" s="821"/>
      <c r="D13" s="31"/>
      <c r="E13" s="31"/>
      <c r="F13" s="39"/>
      <c r="G13" s="23"/>
      <c r="H13" s="264">
        <f t="shared" si="1"/>
        <v>4</v>
      </c>
    </row>
    <row r="14" spans="1:8" ht="15.5" x14ac:dyDescent="0.35">
      <c r="A14" s="263">
        <f t="shared" si="0"/>
        <v>5</v>
      </c>
      <c r="B14" s="18" t="s">
        <v>272</v>
      </c>
      <c r="C14" s="821"/>
      <c r="D14" s="31">
        <f>'WP 6 HV LV Alloc Summary'!C33</f>
        <v>9131.4</v>
      </c>
      <c r="E14" s="31">
        <f>'WP 6 HV LV Alloc Summary'!D33</f>
        <v>8868.6</v>
      </c>
      <c r="F14" s="39">
        <f>SUM(D14:E14)</f>
        <v>18000</v>
      </c>
      <c r="G14" s="23" t="s">
        <v>211</v>
      </c>
      <c r="H14" s="264">
        <f t="shared" si="1"/>
        <v>5</v>
      </c>
    </row>
    <row r="15" spans="1:8" ht="15.5" x14ac:dyDescent="0.35">
      <c r="A15" s="263">
        <f t="shared" si="0"/>
        <v>6</v>
      </c>
      <c r="B15" s="65"/>
      <c r="C15" s="821"/>
      <c r="D15" s="31"/>
      <c r="E15" s="31"/>
      <c r="F15" s="238"/>
      <c r="G15" s="61"/>
      <c r="H15" s="264">
        <f t="shared" si="1"/>
        <v>6</v>
      </c>
    </row>
    <row r="16" spans="1:8" ht="15.5" x14ac:dyDescent="0.35">
      <c r="A16" s="263">
        <f t="shared" si="0"/>
        <v>7</v>
      </c>
      <c r="B16" s="65" t="s">
        <v>273</v>
      </c>
      <c r="C16" s="821"/>
      <c r="D16" s="31">
        <f>'WP 6 HV LV Alloc Summary'!C39</f>
        <v>-350571.00427199993</v>
      </c>
      <c r="E16" s="31">
        <f>'WP 6 HV LV Alloc Summary'!D39</f>
        <v>-340481.63572799996</v>
      </c>
      <c r="F16" s="238">
        <f>SUM(D16:E16)</f>
        <v>-691052.6399999999</v>
      </c>
      <c r="G16" s="61" t="s">
        <v>213</v>
      </c>
      <c r="H16" s="264">
        <f t="shared" si="1"/>
        <v>7</v>
      </c>
    </row>
    <row r="17" spans="1:8" ht="15.5" x14ac:dyDescent="0.35">
      <c r="A17" s="263">
        <f t="shared" si="0"/>
        <v>8</v>
      </c>
      <c r="B17" s="65"/>
      <c r="C17" s="822"/>
      <c r="D17" s="31"/>
      <c r="E17" s="31"/>
      <c r="F17" s="238"/>
      <c r="G17" s="61"/>
      <c r="H17" s="264">
        <f t="shared" si="1"/>
        <v>8</v>
      </c>
    </row>
    <row r="18" spans="1:8" ht="15.5" x14ac:dyDescent="0.35">
      <c r="A18" s="263">
        <f t="shared" si="0"/>
        <v>9</v>
      </c>
      <c r="B18" s="65" t="s">
        <v>274</v>
      </c>
      <c r="C18" s="822"/>
      <c r="D18" s="38">
        <f>'WP 6 HV LV Alloc Summary'!C49</f>
        <v>-440800.47314799996</v>
      </c>
      <c r="E18" s="38">
        <f>'WP 6 HV LV Alloc Summary'!D49</f>
        <v>-43659.736852000002</v>
      </c>
      <c r="F18" s="40">
        <f>SUM(D18:E18)</f>
        <v>-484460.20999999996</v>
      </c>
      <c r="G18" s="61" t="s">
        <v>214</v>
      </c>
      <c r="H18" s="264">
        <f t="shared" si="1"/>
        <v>9</v>
      </c>
    </row>
    <row r="19" spans="1:8" ht="15.5" x14ac:dyDescent="0.35">
      <c r="A19" s="263">
        <f t="shared" si="0"/>
        <v>10</v>
      </c>
      <c r="B19" s="18"/>
      <c r="C19" s="18"/>
      <c r="D19" s="19"/>
      <c r="E19" s="19"/>
      <c r="F19" s="19"/>
      <c r="G19" s="23"/>
      <c r="H19" s="264">
        <f t="shared" si="1"/>
        <v>10</v>
      </c>
    </row>
    <row r="20" spans="1:8" ht="15.5" x14ac:dyDescent="0.35">
      <c r="A20" s="263">
        <f t="shared" si="0"/>
        <v>11</v>
      </c>
      <c r="B20" s="18" t="s">
        <v>490</v>
      </c>
      <c r="C20" s="18"/>
      <c r="D20" s="14">
        <f>SUM(D12:D18)</f>
        <v>-30129118.957419995</v>
      </c>
      <c r="E20" s="14">
        <f>SUM(E12:E18)</f>
        <v>-375272.77257999999</v>
      </c>
      <c r="F20" s="14">
        <f>SUM(F12:F18)</f>
        <v>-30504391.729999997</v>
      </c>
      <c r="G20" s="23" t="s">
        <v>275</v>
      </c>
      <c r="H20" s="264">
        <f t="shared" si="1"/>
        <v>11</v>
      </c>
    </row>
    <row r="21" spans="1:8" ht="15.5" x14ac:dyDescent="0.35">
      <c r="A21" s="263">
        <f t="shared" si="0"/>
        <v>12</v>
      </c>
      <c r="B21" s="11"/>
      <c r="C21" s="11"/>
      <c r="D21" s="16"/>
      <c r="E21" s="16"/>
      <c r="F21" s="17"/>
      <c r="G21" s="10"/>
      <c r="H21" s="264">
        <f t="shared" si="1"/>
        <v>12</v>
      </c>
    </row>
    <row r="22" spans="1:8" ht="15.5" x14ac:dyDescent="0.35">
      <c r="A22" s="263">
        <f t="shared" si="0"/>
        <v>13</v>
      </c>
      <c r="B22" s="18" t="s">
        <v>276</v>
      </c>
      <c r="C22" s="18"/>
      <c r="D22" s="25">
        <f>D20/$F20</f>
        <v>0.98769774608516669</v>
      </c>
      <c r="E22" s="25">
        <f>E20/$F20</f>
        <v>1.2302253914833267E-2</v>
      </c>
      <c r="F22" s="30">
        <f>SUM(D22:E22)</f>
        <v>1</v>
      </c>
      <c r="G22" s="23" t="s">
        <v>277</v>
      </c>
      <c r="H22" s="264">
        <f t="shared" si="1"/>
        <v>13</v>
      </c>
    </row>
    <row r="23" spans="1:8" ht="15.5" x14ac:dyDescent="0.35">
      <c r="A23" s="263">
        <f t="shared" si="0"/>
        <v>14</v>
      </c>
      <c r="B23" s="18"/>
      <c r="C23" s="18"/>
      <c r="D23" s="21"/>
      <c r="E23" s="21"/>
      <c r="F23" s="21"/>
      <c r="G23" s="23"/>
      <c r="H23" s="264">
        <f>H22+1</f>
        <v>14</v>
      </c>
    </row>
    <row r="24" spans="1:8" ht="19" thickBot="1" x14ac:dyDescent="0.4">
      <c r="A24" s="263">
        <f t="shared" si="0"/>
        <v>15</v>
      </c>
      <c r="B24" s="11" t="s">
        <v>278</v>
      </c>
      <c r="C24" s="11"/>
      <c r="D24" s="232">
        <f>ROUND($C10*D22,0)</f>
        <v>-11785646</v>
      </c>
      <c r="E24" s="232">
        <f>ROUND($C10*E22,0)</f>
        <v>-146796</v>
      </c>
      <c r="F24" s="232">
        <f>SUM(D24:E24)</f>
        <v>-11932442</v>
      </c>
      <c r="G24" s="23" t="s">
        <v>279</v>
      </c>
      <c r="H24" s="264">
        <f>H23+1</f>
        <v>15</v>
      </c>
    </row>
    <row r="25" spans="1:8" ht="16.5" thickTop="1" thickBot="1" x14ac:dyDescent="0.4">
      <c r="A25" s="576"/>
      <c r="B25" s="81"/>
      <c r="C25" s="81"/>
      <c r="D25" s="472"/>
      <c r="E25" s="81"/>
      <c r="F25" s="81"/>
      <c r="G25" s="81"/>
      <c r="H25" s="407"/>
    </row>
    <row r="26" spans="1:8" ht="15.5" x14ac:dyDescent="0.35">
      <c r="A26" s="22"/>
      <c r="B26" s="22"/>
      <c r="C26" s="22"/>
      <c r="D26" s="22"/>
      <c r="E26" s="22"/>
      <c r="F26" s="22"/>
      <c r="G26" s="22"/>
      <c r="H26" s="22"/>
    </row>
    <row r="27" spans="1:8" ht="18.5" x14ac:dyDescent="0.35">
      <c r="A27" s="83">
        <v>1</v>
      </c>
      <c r="B27" s="22" t="s">
        <v>280</v>
      </c>
      <c r="C27" s="22"/>
      <c r="D27" s="22"/>
      <c r="E27" s="22"/>
      <c r="F27" s="22"/>
      <c r="G27" s="22"/>
      <c r="H27" s="22"/>
    </row>
    <row r="28" spans="1:8" ht="18.5" x14ac:dyDescent="0.35">
      <c r="A28" s="83"/>
      <c r="B28" s="22"/>
      <c r="C28" s="22"/>
      <c r="D28" s="22"/>
      <c r="E28" s="22"/>
      <c r="F28" s="22"/>
      <c r="G28" s="22"/>
      <c r="H28" s="22"/>
    </row>
    <row r="29" spans="1:8" ht="18.5" x14ac:dyDescent="0.35">
      <c r="A29" s="83"/>
      <c r="B29" s="22"/>
      <c r="C29" s="22"/>
      <c r="D29" s="22"/>
      <c r="E29" s="22"/>
      <c r="F29" s="22"/>
      <c r="G29" s="22"/>
      <c r="H29" s="22"/>
    </row>
  </sheetData>
  <mergeCells count="1">
    <mergeCell ref="B3:G3"/>
  </mergeCells>
  <phoneticPr fontId="0" type="noConversion"/>
  <printOptions horizontalCentered="1"/>
  <pageMargins left="0.25" right="0.25" top="0.5" bottom="0.5" header="0.25" footer="0.25"/>
  <pageSetup scale="76" orientation="landscape" r:id="rId1"/>
  <headerFooter scaleWithDoc="0" alignWithMargins="0">
    <oddFooter>&amp;L&amp;"Times New Roman,Regular"&amp;11&amp;F&amp;C&amp;"Times New Roman,Regular"&amp;11Page 2.1&amp;R&amp;"Times New Roman,Regular"&amp;11&amp;A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60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4" width="20.54296875" style="1" customWidth="1"/>
    <col min="5" max="5" width="22.1796875" style="1" bestFit="1" customWidth="1"/>
    <col min="6" max="6" width="40.54296875" style="1" customWidth="1"/>
    <col min="7" max="7" width="5.54296875" style="1" customWidth="1"/>
    <col min="8" max="8" width="8.54296875" style="1" customWidth="1"/>
    <col min="9" max="9" width="12.54296875" style="1" customWidth="1"/>
    <col min="10" max="10" width="8.453125" style="1" customWidth="1"/>
    <col min="11" max="16384" width="8.54296875" style="1"/>
  </cols>
  <sheetData>
    <row r="2" spans="1:10" s="3" customFormat="1" ht="18" customHeight="1" x14ac:dyDescent="0.3">
      <c r="A2" s="5" t="s">
        <v>0</v>
      </c>
      <c r="B2" s="5"/>
      <c r="C2" s="5"/>
      <c r="D2" s="5"/>
      <c r="E2" s="5"/>
      <c r="F2" s="5"/>
      <c r="G2" s="41"/>
      <c r="H2" s="1"/>
      <c r="I2" s="1"/>
      <c r="J2" s="1"/>
    </row>
    <row r="3" spans="1:10" s="3" customFormat="1" ht="18" customHeight="1" x14ac:dyDescent="0.3">
      <c r="A3" s="5" t="s">
        <v>1</v>
      </c>
      <c r="B3" s="5"/>
      <c r="C3" s="5"/>
      <c r="D3" s="5"/>
      <c r="E3" s="5"/>
      <c r="F3" s="5"/>
      <c r="G3" s="41"/>
      <c r="H3" s="1"/>
      <c r="I3" s="1"/>
      <c r="J3" s="1"/>
    </row>
    <row r="4" spans="1:10" s="3" customFormat="1" ht="18" customHeight="1" x14ac:dyDescent="0.3">
      <c r="A4" s="5" t="str">
        <f>'Stmnt BD - Recorded KWH'!A4</f>
        <v>2023 - TRBAA Rate Filing</v>
      </c>
      <c r="B4" s="5"/>
      <c r="C4" s="5"/>
      <c r="D4" s="5"/>
      <c r="E4" s="5"/>
      <c r="F4" s="5"/>
      <c r="G4" s="41"/>
      <c r="H4" s="1"/>
      <c r="I4" s="1"/>
      <c r="J4" s="1"/>
    </row>
    <row r="5" spans="1:10" ht="15.5" x14ac:dyDescent="0.3">
      <c r="A5" s="5" t="s">
        <v>2</v>
      </c>
      <c r="B5" s="5"/>
      <c r="C5" s="5"/>
      <c r="D5" s="41"/>
      <c r="E5" s="41"/>
      <c r="F5" s="41"/>
      <c r="G5" s="41"/>
    </row>
    <row r="6" spans="1:10" ht="16" thickBot="1" x14ac:dyDescent="0.35">
      <c r="A6" s="5"/>
      <c r="B6" s="5"/>
      <c r="C6" s="5"/>
      <c r="D6" s="41"/>
      <c r="E6" s="41"/>
      <c r="F6" s="41"/>
      <c r="G6" s="41"/>
    </row>
    <row r="7" spans="1:10" ht="15" x14ac:dyDescent="0.3">
      <c r="A7" s="287"/>
      <c r="B7" s="546"/>
      <c r="C7" s="165" t="s">
        <v>3</v>
      </c>
      <c r="D7" s="165" t="s">
        <v>21</v>
      </c>
      <c r="E7" s="165" t="s">
        <v>5</v>
      </c>
      <c r="F7" s="547"/>
      <c r="G7" s="548"/>
    </row>
    <row r="8" spans="1:10" ht="15" x14ac:dyDescent="0.3">
      <c r="A8" s="549"/>
      <c r="B8" s="94"/>
      <c r="C8" s="75" t="s">
        <v>6</v>
      </c>
      <c r="D8" s="75" t="s">
        <v>7</v>
      </c>
      <c r="E8" s="75" t="s">
        <v>6</v>
      </c>
      <c r="F8" s="94"/>
      <c r="G8" s="550"/>
    </row>
    <row r="9" spans="1:10" ht="15" x14ac:dyDescent="0.3">
      <c r="A9" s="551" t="s">
        <v>8</v>
      </c>
      <c r="B9" s="75"/>
      <c r="C9" s="158" t="s">
        <v>9</v>
      </c>
      <c r="D9" s="75" t="s">
        <v>10</v>
      </c>
      <c r="E9" s="158" t="s">
        <v>9</v>
      </c>
      <c r="F9" s="75"/>
      <c r="G9" s="552" t="s">
        <v>8</v>
      </c>
    </row>
    <row r="10" spans="1:10" ht="18.5" thickBot="1" x14ac:dyDescent="0.35">
      <c r="A10" s="569" t="s">
        <v>11</v>
      </c>
      <c r="B10" s="153" t="s">
        <v>12</v>
      </c>
      <c r="C10" s="571" t="s">
        <v>13</v>
      </c>
      <c r="D10" s="153" t="s">
        <v>14</v>
      </c>
      <c r="E10" s="571" t="s">
        <v>15</v>
      </c>
      <c r="F10" s="153" t="s">
        <v>16</v>
      </c>
      <c r="G10" s="570" t="s">
        <v>11</v>
      </c>
    </row>
    <row r="11" spans="1:10" ht="15.5" x14ac:dyDescent="0.35">
      <c r="A11" s="263"/>
      <c r="B11" s="770"/>
      <c r="C11" s="188"/>
      <c r="D11" s="37"/>
      <c r="E11" s="188"/>
      <c r="F11" s="74"/>
      <c r="G11" s="264"/>
    </row>
    <row r="12" spans="1:10" ht="15.5" x14ac:dyDescent="0.35">
      <c r="A12" s="263">
        <v>1</v>
      </c>
      <c r="B12" s="478">
        <v>44927</v>
      </c>
      <c r="C12" s="44">
        <f>'WP 1.2 Forecast Sales'!C$39</f>
        <v>1440054852.0999999</v>
      </c>
      <c r="D12" s="177">
        <f>'WP 1.2 Forecast Sales'!C$38</f>
        <v>5370</v>
      </c>
      <c r="E12" s="45">
        <f>C12-D12</f>
        <v>1440049482.0999999</v>
      </c>
      <c r="F12" s="241" t="s">
        <v>22</v>
      </c>
      <c r="G12" s="264">
        <v>1</v>
      </c>
    </row>
    <row r="13" spans="1:10" ht="15.5" x14ac:dyDescent="0.35">
      <c r="A13" s="263">
        <f t="shared" ref="A13:A26" si="0">A12+1</f>
        <v>2</v>
      </c>
      <c r="B13" s="478">
        <v>44958</v>
      </c>
      <c r="C13" s="44">
        <f>'WP 1.2 Forecast Sales'!D$39</f>
        <v>1320566073.9999998</v>
      </c>
      <c r="D13" s="177">
        <f>'WP 1.2 Forecast Sales'!D$38</f>
        <v>2952</v>
      </c>
      <c r="E13" s="45">
        <f>C13-D13</f>
        <v>1320563121.9999998</v>
      </c>
      <c r="F13" s="241" t="str">
        <f>$F$12</f>
        <v>Workpaper No. 1; Page 1.2; Lines 30; 29</v>
      </c>
      <c r="G13" s="264">
        <f t="shared" ref="G13:G26" si="1">G12+1</f>
        <v>2</v>
      </c>
    </row>
    <row r="14" spans="1:10" ht="15.5" x14ac:dyDescent="0.35">
      <c r="A14" s="263">
        <f t="shared" si="0"/>
        <v>3</v>
      </c>
      <c r="B14" s="478">
        <v>44986</v>
      </c>
      <c r="C14" s="44">
        <f>'WP 1.2 Forecast Sales'!E$39</f>
        <v>1266253848.6000001</v>
      </c>
      <c r="D14" s="177">
        <f>'WP 1.2 Forecast Sales'!E$38</f>
        <v>5684</v>
      </c>
      <c r="E14" s="45">
        <f>C14-D14</f>
        <v>1266248164.6000001</v>
      </c>
      <c r="F14" s="241" t="str">
        <f t="shared" ref="F14:F23" si="2">$F$12</f>
        <v>Workpaper No. 1; Page 1.2; Lines 30; 29</v>
      </c>
      <c r="G14" s="264">
        <f t="shared" si="1"/>
        <v>3</v>
      </c>
    </row>
    <row r="15" spans="1:10" ht="15.5" x14ac:dyDescent="0.35">
      <c r="A15" s="263">
        <f t="shared" si="0"/>
        <v>4</v>
      </c>
      <c r="B15" s="478">
        <v>45017</v>
      </c>
      <c r="C15" s="44">
        <f>'WP 1.2 Forecast Sales'!F$39</f>
        <v>1308025213.3</v>
      </c>
      <c r="D15" s="177">
        <f>'WP 1.2 Forecast Sales'!F$38</f>
        <v>3016</v>
      </c>
      <c r="E15" s="45">
        <f t="shared" ref="E15:E22" si="3">C15-D15</f>
        <v>1308022197.3</v>
      </c>
      <c r="F15" s="241" t="str">
        <f t="shared" si="2"/>
        <v>Workpaper No. 1; Page 1.2; Lines 30; 29</v>
      </c>
      <c r="G15" s="264">
        <f t="shared" si="1"/>
        <v>4</v>
      </c>
      <c r="J15" s="4"/>
    </row>
    <row r="16" spans="1:10" ht="15.5" x14ac:dyDescent="0.35">
      <c r="A16" s="263">
        <f t="shared" si="0"/>
        <v>5</v>
      </c>
      <c r="B16" s="478">
        <v>45047</v>
      </c>
      <c r="C16" s="44">
        <f>'WP 1.2 Forecast Sales'!G$39</f>
        <v>1268447393.8000002</v>
      </c>
      <c r="D16" s="177">
        <f>'WP 1.2 Forecast Sales'!G$38</f>
        <v>4019.9999999999995</v>
      </c>
      <c r="E16" s="45">
        <f t="shared" si="3"/>
        <v>1268443373.8000002</v>
      </c>
      <c r="F16" s="241" t="str">
        <f t="shared" si="2"/>
        <v>Workpaper No. 1; Page 1.2; Lines 30; 29</v>
      </c>
      <c r="G16" s="264">
        <f t="shared" si="1"/>
        <v>5</v>
      </c>
      <c r="J16" s="4"/>
    </row>
    <row r="17" spans="1:10" ht="15.5" x14ac:dyDescent="0.35">
      <c r="A17" s="263">
        <f t="shared" si="0"/>
        <v>6</v>
      </c>
      <c r="B17" s="478">
        <v>45078</v>
      </c>
      <c r="C17" s="44">
        <f>'WP 1.2 Forecast Sales'!H$39</f>
        <v>1380369595.8000002</v>
      </c>
      <c r="D17" s="177">
        <f>'WP 1.2 Forecast Sales'!H$38</f>
        <v>6437</v>
      </c>
      <c r="E17" s="45">
        <f t="shared" si="3"/>
        <v>1380363158.8000002</v>
      </c>
      <c r="F17" s="241" t="str">
        <f t="shared" si="2"/>
        <v>Workpaper No. 1; Page 1.2; Lines 30; 29</v>
      </c>
      <c r="G17" s="264">
        <f t="shared" si="1"/>
        <v>6</v>
      </c>
      <c r="J17" s="4"/>
    </row>
    <row r="18" spans="1:10" ht="15.5" x14ac:dyDescent="0.35">
      <c r="A18" s="263">
        <f t="shared" si="0"/>
        <v>7</v>
      </c>
      <c r="B18" s="478">
        <v>45108</v>
      </c>
      <c r="C18" s="44">
        <f>'WP 1.2 Forecast Sales'!I$39</f>
        <v>1485703613.1000001</v>
      </c>
      <c r="D18" s="177">
        <f>'WP 1.2 Forecast Sales'!I$38</f>
        <v>5171</v>
      </c>
      <c r="E18" s="45">
        <f t="shared" si="3"/>
        <v>1485698442.1000001</v>
      </c>
      <c r="F18" s="241" t="str">
        <f t="shared" si="2"/>
        <v>Workpaper No. 1; Page 1.2; Lines 30; 29</v>
      </c>
      <c r="G18" s="264">
        <f t="shared" si="1"/>
        <v>7</v>
      </c>
      <c r="J18" s="4"/>
    </row>
    <row r="19" spans="1:10" ht="15.5" x14ac:dyDescent="0.35">
      <c r="A19" s="263">
        <f t="shared" si="0"/>
        <v>8</v>
      </c>
      <c r="B19" s="478">
        <v>45139</v>
      </c>
      <c r="C19" s="44">
        <f>'WP 1.2 Forecast Sales'!J$39</f>
        <v>1571872027.8</v>
      </c>
      <c r="D19" s="177">
        <f>'WP 1.2 Forecast Sales'!J$38</f>
        <v>5730</v>
      </c>
      <c r="E19" s="45">
        <f t="shared" si="3"/>
        <v>1571866297.8</v>
      </c>
      <c r="F19" s="241" t="str">
        <f t="shared" si="2"/>
        <v>Workpaper No. 1; Page 1.2; Lines 30; 29</v>
      </c>
      <c r="G19" s="264">
        <f t="shared" si="1"/>
        <v>8</v>
      </c>
      <c r="J19" s="4"/>
    </row>
    <row r="20" spans="1:10" ht="15.5" x14ac:dyDescent="0.35">
      <c r="A20" s="263">
        <f t="shared" si="0"/>
        <v>9</v>
      </c>
      <c r="B20" s="478">
        <v>45170</v>
      </c>
      <c r="C20" s="44">
        <f>'WP 1.2 Forecast Sales'!K$39</f>
        <v>1716300181.5</v>
      </c>
      <c r="D20" s="177">
        <f>'WP 1.2 Forecast Sales'!K$38</f>
        <v>5942</v>
      </c>
      <c r="E20" s="45">
        <f t="shared" si="3"/>
        <v>1716294239.5</v>
      </c>
      <c r="F20" s="241" t="str">
        <f t="shared" si="2"/>
        <v>Workpaper No. 1; Page 1.2; Lines 30; 29</v>
      </c>
      <c r="G20" s="264">
        <f t="shared" si="1"/>
        <v>9</v>
      </c>
      <c r="J20" s="4"/>
    </row>
    <row r="21" spans="1:10" ht="15.5" x14ac:dyDescent="0.35">
      <c r="A21" s="263">
        <f t="shared" si="0"/>
        <v>10</v>
      </c>
      <c r="B21" s="478">
        <v>45200</v>
      </c>
      <c r="C21" s="44">
        <f>'WP 1.2 Forecast Sales'!L$39</f>
        <v>1528687323.7</v>
      </c>
      <c r="D21" s="177">
        <f>'WP 1.2 Forecast Sales'!L$38</f>
        <v>6080</v>
      </c>
      <c r="E21" s="45">
        <f t="shared" si="3"/>
        <v>1528681243.7</v>
      </c>
      <c r="F21" s="241" t="str">
        <f t="shared" si="2"/>
        <v>Workpaper No. 1; Page 1.2; Lines 30; 29</v>
      </c>
      <c r="G21" s="264">
        <f t="shared" si="1"/>
        <v>10</v>
      </c>
      <c r="J21" s="4"/>
    </row>
    <row r="22" spans="1:10" ht="15.5" x14ac:dyDescent="0.35">
      <c r="A22" s="263">
        <f t="shared" si="0"/>
        <v>11</v>
      </c>
      <c r="B22" s="478">
        <v>45231</v>
      </c>
      <c r="C22" s="44">
        <f>'WP 1.2 Forecast Sales'!M$39</f>
        <v>1377458185</v>
      </c>
      <c r="D22" s="177">
        <f>'WP 1.2 Forecast Sales'!M$38</f>
        <v>4724</v>
      </c>
      <c r="E22" s="45">
        <f t="shared" si="3"/>
        <v>1377453461</v>
      </c>
      <c r="F22" s="241" t="str">
        <f t="shared" si="2"/>
        <v>Workpaper No. 1; Page 1.2; Lines 30; 29</v>
      </c>
      <c r="G22" s="264">
        <f t="shared" si="1"/>
        <v>11</v>
      </c>
      <c r="J22" s="4"/>
    </row>
    <row r="23" spans="1:10" ht="15.5" x14ac:dyDescent="0.35">
      <c r="A23" s="263">
        <f t="shared" si="0"/>
        <v>12</v>
      </c>
      <c r="B23" s="478">
        <v>45261</v>
      </c>
      <c r="C23" s="44">
        <f>'WP 1.2 Forecast Sales'!N$39</f>
        <v>1408672179.6000001</v>
      </c>
      <c r="D23" s="177">
        <f>'WP 1.2 Forecast Sales'!N$38</f>
        <v>6179</v>
      </c>
      <c r="E23" s="45">
        <f>C23-D23</f>
        <v>1408666000.6000001</v>
      </c>
      <c r="F23" s="241" t="str">
        <f t="shared" si="2"/>
        <v>Workpaper No. 1; Page 1.2; Lines 30; 29</v>
      </c>
      <c r="G23" s="264">
        <f t="shared" si="1"/>
        <v>12</v>
      </c>
      <c r="J23" s="4"/>
    </row>
    <row r="24" spans="1:10" ht="15.5" x14ac:dyDescent="0.35">
      <c r="A24" s="263">
        <f t="shared" si="0"/>
        <v>13</v>
      </c>
      <c r="B24" s="189"/>
      <c r="C24" s="51"/>
      <c r="D24" s="178"/>
      <c r="E24" s="46"/>
      <c r="F24" s="49"/>
      <c r="G24" s="264">
        <f t="shared" si="1"/>
        <v>13</v>
      </c>
      <c r="J24" s="4"/>
    </row>
    <row r="25" spans="1:10" ht="15.5" x14ac:dyDescent="0.35">
      <c r="A25" s="263">
        <f t="shared" si="0"/>
        <v>14</v>
      </c>
      <c r="B25" s="22"/>
      <c r="C25" s="45"/>
      <c r="D25" s="45"/>
      <c r="E25" s="45"/>
      <c r="F25" s="49"/>
      <c r="G25" s="264">
        <f t="shared" si="1"/>
        <v>14</v>
      </c>
    </row>
    <row r="26" spans="1:10" ht="16" thickBot="1" x14ac:dyDescent="0.4">
      <c r="A26" s="263">
        <f t="shared" si="0"/>
        <v>15</v>
      </c>
      <c r="B26" s="43" t="s">
        <v>18</v>
      </c>
      <c r="C26" s="47">
        <f>SUM(C12:C23)</f>
        <v>17072410488.300001</v>
      </c>
      <c r="D26" s="47">
        <f>SUM(D12:D23)</f>
        <v>61305</v>
      </c>
      <c r="E26" s="47">
        <f>SUM(E12:E23)</f>
        <v>17072349183.300001</v>
      </c>
      <c r="F26" s="49" t="s">
        <v>19</v>
      </c>
      <c r="G26" s="264">
        <f t="shared" si="1"/>
        <v>15</v>
      </c>
      <c r="I26" s="4"/>
    </row>
    <row r="27" spans="1:10" ht="16.5" thickTop="1" thickBot="1" x14ac:dyDescent="0.4">
      <c r="A27" s="301"/>
      <c r="B27" s="80"/>
      <c r="C27" s="553"/>
      <c r="D27" s="554"/>
      <c r="E27" s="81"/>
      <c r="F27" s="57"/>
      <c r="G27" s="302"/>
    </row>
    <row r="28" spans="1:10" ht="15.5" x14ac:dyDescent="0.35">
      <c r="A28" s="22"/>
      <c r="B28" s="22"/>
      <c r="C28" s="22"/>
      <c r="D28" s="22"/>
      <c r="E28" s="22"/>
      <c r="F28" s="22"/>
      <c r="G28" s="22"/>
    </row>
    <row r="29" spans="1:10" ht="18.5" x14ac:dyDescent="0.35">
      <c r="A29" s="414">
        <v>1</v>
      </c>
      <c r="B29" s="22" t="s">
        <v>23</v>
      </c>
      <c r="C29" s="22"/>
      <c r="D29" s="22"/>
      <c r="E29" s="48"/>
      <c r="F29" s="48"/>
      <c r="G29" s="22"/>
    </row>
    <row r="30" spans="1:10" ht="15.5" x14ac:dyDescent="0.35">
      <c r="A30" s="22"/>
      <c r="B30" s="22" t="s">
        <v>24</v>
      </c>
      <c r="C30" s="22"/>
      <c r="D30" s="22"/>
      <c r="E30" s="48"/>
      <c r="F30" s="48"/>
      <c r="G30" s="22"/>
    </row>
    <row r="31" spans="1:10" ht="15.5" x14ac:dyDescent="0.35">
      <c r="A31" s="22"/>
      <c r="B31" s="22"/>
      <c r="C31" s="22"/>
      <c r="D31" s="22"/>
      <c r="E31" s="48"/>
      <c r="F31" s="48"/>
      <c r="G31" s="22"/>
    </row>
    <row r="32" spans="1:10" ht="15.5" x14ac:dyDescent="0.35">
      <c r="A32" s="22"/>
      <c r="B32" s="22"/>
      <c r="C32" s="22"/>
      <c r="D32" s="22"/>
      <c r="E32" s="48"/>
      <c r="F32" s="48"/>
      <c r="G32" s="22"/>
    </row>
    <row r="33" spans="1:7" ht="15.5" x14ac:dyDescent="0.35">
      <c r="A33" s="22"/>
      <c r="B33" s="22"/>
      <c r="C33" s="22"/>
      <c r="D33" s="22"/>
      <c r="E33" s="22"/>
      <c r="F33" s="22"/>
      <c r="G33" s="22"/>
    </row>
    <row r="34" spans="1:7" ht="15.5" x14ac:dyDescent="0.35">
      <c r="A34" s="22"/>
      <c r="B34" s="22"/>
      <c r="C34" s="22"/>
      <c r="D34" s="22"/>
      <c r="E34" s="22"/>
      <c r="F34" s="22"/>
      <c r="G34" s="22"/>
    </row>
    <row r="35" spans="1:7" ht="15.5" x14ac:dyDescent="0.35">
      <c r="A35" s="22"/>
      <c r="B35" s="22"/>
      <c r="C35" s="22"/>
      <c r="D35" s="22"/>
      <c r="E35" s="22"/>
      <c r="F35" s="22"/>
      <c r="G35" s="22"/>
    </row>
    <row r="36" spans="1:7" ht="15.5" x14ac:dyDescent="0.35">
      <c r="A36" s="22"/>
      <c r="B36" s="22"/>
      <c r="C36" s="22"/>
      <c r="D36" s="22"/>
      <c r="E36" s="22"/>
      <c r="F36" s="22"/>
      <c r="G36" s="22"/>
    </row>
    <row r="37" spans="1:7" ht="15.5" x14ac:dyDescent="0.35">
      <c r="A37" s="22"/>
      <c r="B37" s="22"/>
      <c r="C37" s="22"/>
      <c r="D37" s="22"/>
      <c r="E37" s="22"/>
      <c r="F37" s="22"/>
      <c r="G37" s="22"/>
    </row>
    <row r="38" spans="1:7" ht="15.5" x14ac:dyDescent="0.35">
      <c r="A38" s="22"/>
      <c r="B38" s="22"/>
      <c r="C38" s="22"/>
      <c r="D38" s="22"/>
      <c r="E38" s="22"/>
      <c r="F38" s="22"/>
      <c r="G38" s="22"/>
    </row>
    <row r="39" spans="1:7" ht="15.5" x14ac:dyDescent="0.35">
      <c r="A39" s="22"/>
      <c r="B39" s="22"/>
      <c r="C39" s="22"/>
      <c r="D39" s="22"/>
      <c r="E39" s="22"/>
      <c r="F39" s="22"/>
      <c r="G39" s="22"/>
    </row>
    <row r="40" spans="1:7" ht="15.5" x14ac:dyDescent="0.35">
      <c r="A40" s="22"/>
      <c r="B40" s="22"/>
      <c r="C40" s="22"/>
      <c r="D40" s="22"/>
      <c r="E40" s="22"/>
      <c r="F40" s="22"/>
      <c r="G40" s="22"/>
    </row>
    <row r="41" spans="1:7" ht="15.5" x14ac:dyDescent="0.35">
      <c r="A41" s="22"/>
      <c r="B41" s="22"/>
      <c r="C41" s="22"/>
      <c r="D41" s="22"/>
      <c r="E41" s="22"/>
      <c r="F41" s="22"/>
      <c r="G41" s="22"/>
    </row>
    <row r="42" spans="1:7" ht="15.5" x14ac:dyDescent="0.35">
      <c r="A42" s="22"/>
      <c r="B42" s="22"/>
      <c r="C42" s="22"/>
      <c r="D42" s="22"/>
      <c r="E42" s="22"/>
      <c r="F42" s="22"/>
      <c r="G42" s="22"/>
    </row>
    <row r="43" spans="1:7" ht="15.5" x14ac:dyDescent="0.35">
      <c r="A43" s="22"/>
      <c r="B43" s="22"/>
      <c r="C43" s="22"/>
      <c r="D43" s="22"/>
      <c r="E43" s="22"/>
      <c r="F43" s="22"/>
      <c r="G43" s="22"/>
    </row>
    <row r="44" spans="1:7" ht="15.5" x14ac:dyDescent="0.35">
      <c r="A44" s="22"/>
      <c r="B44" s="22"/>
      <c r="C44" s="22"/>
      <c r="D44" s="22"/>
      <c r="E44" s="22"/>
      <c r="F44" s="22"/>
      <c r="G44" s="22"/>
    </row>
    <row r="45" spans="1:7" ht="15.5" x14ac:dyDescent="0.35">
      <c r="A45" s="22"/>
      <c r="B45" s="22"/>
      <c r="C45" s="22"/>
      <c r="D45" s="22"/>
      <c r="E45" s="22"/>
      <c r="F45" s="22"/>
      <c r="G45" s="22"/>
    </row>
    <row r="46" spans="1:7" ht="15.5" x14ac:dyDescent="0.35">
      <c r="A46" s="22"/>
      <c r="B46" s="22"/>
      <c r="C46" s="22"/>
      <c r="D46" s="22"/>
      <c r="E46" s="22"/>
      <c r="F46" s="22"/>
      <c r="G46" s="22"/>
    </row>
    <row r="47" spans="1:7" ht="15.5" x14ac:dyDescent="0.35">
      <c r="A47" s="22"/>
      <c r="B47" s="22"/>
      <c r="C47" s="22"/>
      <c r="D47" s="22"/>
      <c r="E47" s="22"/>
      <c r="F47" s="22"/>
      <c r="G47" s="22"/>
    </row>
    <row r="48" spans="1:7" ht="15.5" x14ac:dyDescent="0.35">
      <c r="A48" s="22"/>
      <c r="B48" s="22"/>
      <c r="C48" s="22"/>
      <c r="D48" s="22"/>
      <c r="E48" s="22"/>
      <c r="F48" s="22"/>
      <c r="G48" s="22"/>
    </row>
    <row r="49" spans="1:7" ht="15.5" x14ac:dyDescent="0.35">
      <c r="A49" s="22"/>
      <c r="B49" s="22"/>
      <c r="C49" s="22"/>
      <c r="D49" s="22"/>
      <c r="E49" s="22"/>
      <c r="F49" s="22"/>
      <c r="G49" s="22"/>
    </row>
    <row r="50" spans="1:7" ht="15.5" x14ac:dyDescent="0.35">
      <c r="A50" s="22"/>
      <c r="B50" s="22"/>
      <c r="C50" s="22"/>
      <c r="D50" s="22"/>
      <c r="E50" s="22"/>
      <c r="F50" s="22"/>
      <c r="G50" s="22"/>
    </row>
    <row r="51" spans="1:7" ht="15.5" x14ac:dyDescent="0.35">
      <c r="A51" s="22"/>
      <c r="B51" s="22"/>
      <c r="C51" s="22"/>
      <c r="D51" s="22"/>
      <c r="E51" s="22"/>
      <c r="F51" s="22"/>
      <c r="G51" s="22"/>
    </row>
    <row r="52" spans="1:7" ht="15.5" x14ac:dyDescent="0.35">
      <c r="A52" s="22"/>
      <c r="B52" s="22"/>
      <c r="C52" s="22"/>
      <c r="D52" s="22"/>
      <c r="E52" s="22"/>
      <c r="F52" s="22"/>
      <c r="G52" s="22"/>
    </row>
    <row r="53" spans="1:7" ht="15.5" x14ac:dyDescent="0.35">
      <c r="A53" s="22"/>
      <c r="B53" s="22"/>
      <c r="C53" s="22"/>
      <c r="D53" s="22"/>
      <c r="E53" s="22"/>
      <c r="F53" s="22"/>
      <c r="G53" s="22"/>
    </row>
    <row r="54" spans="1:7" ht="15.5" x14ac:dyDescent="0.35">
      <c r="A54" s="22"/>
      <c r="B54" s="22"/>
      <c r="C54" s="22"/>
      <c r="D54" s="22"/>
      <c r="E54" s="22"/>
      <c r="F54" s="22"/>
      <c r="G54" s="22"/>
    </row>
    <row r="55" spans="1:7" ht="15.5" x14ac:dyDescent="0.35">
      <c r="A55" s="22"/>
      <c r="B55" s="22"/>
      <c r="C55" s="22"/>
      <c r="D55" s="22"/>
      <c r="E55" s="22"/>
      <c r="F55" s="22"/>
      <c r="G55" s="22"/>
    </row>
    <row r="56" spans="1:7" ht="15.5" x14ac:dyDescent="0.35">
      <c r="A56" s="22"/>
      <c r="B56" s="22"/>
      <c r="C56" s="22"/>
      <c r="D56" s="22"/>
      <c r="E56" s="22"/>
      <c r="F56" s="22"/>
      <c r="G56" s="22"/>
    </row>
    <row r="57" spans="1:7" ht="15.5" x14ac:dyDescent="0.35">
      <c r="A57" s="22"/>
      <c r="B57" s="22"/>
      <c r="C57" s="22"/>
      <c r="D57" s="22"/>
      <c r="E57" s="22"/>
      <c r="F57" s="22"/>
      <c r="G57" s="22"/>
    </row>
    <row r="58" spans="1:7" ht="15.5" x14ac:dyDescent="0.35">
      <c r="A58" s="22"/>
      <c r="B58" s="22"/>
      <c r="C58" s="22"/>
      <c r="D58" s="22"/>
      <c r="E58" s="22"/>
      <c r="F58" s="22"/>
      <c r="G58" s="22"/>
    </row>
    <row r="59" spans="1:7" ht="15.5" x14ac:dyDescent="0.35">
      <c r="A59" s="22"/>
      <c r="B59" s="22"/>
      <c r="C59" s="22"/>
      <c r="D59" s="22"/>
      <c r="E59" s="22"/>
      <c r="F59" s="22"/>
      <c r="G59" s="22"/>
    </row>
    <row r="60" spans="1:7" ht="15.5" x14ac:dyDescent="0.35">
      <c r="A60" s="22"/>
      <c r="B60" s="22"/>
      <c r="C60" s="22"/>
      <c r="D60" s="22"/>
      <c r="E60" s="22"/>
      <c r="F60" s="22"/>
      <c r="G60" s="22"/>
    </row>
  </sheetData>
  <phoneticPr fontId="15" type="noConversion"/>
  <printOptions horizontalCentered="1"/>
  <pageMargins left="0.25" right="0.25" top="0.5" bottom="0.5" header="0.25" footer="0.25"/>
  <pageSetup orientation="landscape" r:id="rId1"/>
  <headerFooter alignWithMargins="0">
    <oddFooter>&amp;L&amp;"Times New Roman,Regular"&amp;12&amp;F&amp;C&amp;"Times New Roman,Regular"&amp;12Page 2 of 5&amp;R&amp;"Times New Roman,Regular"&amp;12&amp;A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717E2-3CF5-42BB-A5C6-39DBD5ACCBFA}">
  <sheetPr>
    <pageSetUpPr fitToPage="1"/>
  </sheetPr>
  <dimension ref="A1:G26"/>
  <sheetViews>
    <sheetView zoomScale="80" zoomScaleNormal="80" workbookViewId="0"/>
  </sheetViews>
  <sheetFormatPr defaultColWidth="8.54296875" defaultRowHeight="15.5" x14ac:dyDescent="0.35"/>
  <cols>
    <col min="1" max="1" width="5.54296875" style="22" customWidth="1"/>
    <col min="2" max="2" width="60.54296875" style="50" customWidth="1"/>
    <col min="3" max="5" width="18.54296875" style="22" customWidth="1"/>
    <col min="6" max="6" width="40.54296875" style="22" customWidth="1"/>
    <col min="7" max="7" width="5.54296875" style="22" customWidth="1"/>
    <col min="8" max="9" width="15.54296875" style="22" customWidth="1"/>
    <col min="10" max="16384" width="8.54296875" style="22"/>
  </cols>
  <sheetData>
    <row r="1" spans="1:7" x14ac:dyDescent="0.35">
      <c r="B1" s="5"/>
      <c r="C1" s="5"/>
      <c r="D1" s="5"/>
      <c r="E1" s="5"/>
      <c r="F1" s="5"/>
    </row>
    <row r="2" spans="1:7" x14ac:dyDescent="0.35">
      <c r="B2" s="5" t="s">
        <v>1</v>
      </c>
      <c r="C2" s="5"/>
      <c r="D2" s="5"/>
      <c r="E2" s="5"/>
      <c r="F2" s="5"/>
    </row>
    <row r="3" spans="1:7" x14ac:dyDescent="0.35">
      <c r="B3" s="5" t="str">
        <f>'Stmnt BK1 - TRBAA'!B4</f>
        <v>2023 - TRBAA Rate Filing</v>
      </c>
      <c r="C3" s="5"/>
      <c r="D3" s="5"/>
      <c r="E3" s="5"/>
      <c r="F3" s="5"/>
    </row>
    <row r="4" spans="1:7" x14ac:dyDescent="0.35">
      <c r="B4" s="5" t="s">
        <v>281</v>
      </c>
      <c r="C4" s="5"/>
      <c r="D4" s="5"/>
      <c r="E4" s="5"/>
      <c r="F4" s="5"/>
    </row>
    <row r="5" spans="1:7" ht="16" thickBot="1" x14ac:dyDescent="0.4">
      <c r="B5" s="5"/>
      <c r="C5" s="5"/>
      <c r="D5" s="5"/>
      <c r="E5" s="5"/>
      <c r="F5" s="5"/>
    </row>
    <row r="6" spans="1:7" x14ac:dyDescent="0.35">
      <c r="A6" s="597" t="s">
        <v>8</v>
      </c>
      <c r="B6" s="980" t="s">
        <v>174</v>
      </c>
      <c r="C6" s="598" t="s">
        <v>282</v>
      </c>
      <c r="D6" s="599" t="s">
        <v>283</v>
      </c>
      <c r="E6" s="598" t="s">
        <v>284</v>
      </c>
      <c r="F6" s="600"/>
      <c r="G6" s="559" t="s">
        <v>8</v>
      </c>
    </row>
    <row r="7" spans="1:7" ht="16" thickBot="1" x14ac:dyDescent="0.4">
      <c r="A7" s="181" t="s">
        <v>11</v>
      </c>
      <c r="B7" s="985"/>
      <c r="C7" s="593" t="s">
        <v>232</v>
      </c>
      <c r="D7" s="584" t="s">
        <v>233</v>
      </c>
      <c r="E7" s="593" t="s">
        <v>285</v>
      </c>
      <c r="F7" s="593" t="s">
        <v>16</v>
      </c>
      <c r="G7" s="570" t="s">
        <v>11</v>
      </c>
    </row>
    <row r="8" spans="1:7" x14ac:dyDescent="0.35">
      <c r="A8" s="247"/>
      <c r="C8" s="166"/>
      <c r="D8" s="183"/>
      <c r="E8" s="166"/>
      <c r="F8" s="250"/>
      <c r="G8" s="123"/>
    </row>
    <row r="9" spans="1:7" ht="16" thickBot="1" x14ac:dyDescent="0.4">
      <c r="A9" s="120">
        <v>1</v>
      </c>
      <c r="B9" s="50" t="s">
        <v>286</v>
      </c>
      <c r="C9" s="17"/>
      <c r="D9" s="820"/>
      <c r="E9" s="232">
        <v>-18348959</v>
      </c>
      <c r="F9" s="33" t="s">
        <v>206</v>
      </c>
      <c r="G9" s="350">
        <v>1</v>
      </c>
    </row>
    <row r="10" spans="1:7" ht="16" thickTop="1" x14ac:dyDescent="0.35">
      <c r="A10" s="120">
        <f>A9+1</f>
        <v>2</v>
      </c>
      <c r="C10" s="17"/>
      <c r="E10" s="17"/>
      <c r="F10" s="91"/>
      <c r="G10" s="350">
        <f>G9+1</f>
        <v>2</v>
      </c>
    </row>
    <row r="11" spans="1:7" x14ac:dyDescent="0.35">
      <c r="A11" s="120">
        <f t="shared" ref="A11:A15" si="0">A10+1</f>
        <v>3</v>
      </c>
      <c r="B11" s="50" t="s">
        <v>502</v>
      </c>
      <c r="C11" s="141">
        <f>'Stmnt BK2 - TRBAA'!C13</f>
        <v>602609105</v>
      </c>
      <c r="D11" s="328">
        <f>'Stmnt BK2 - TRBAA'!D13</f>
        <v>587290021</v>
      </c>
      <c r="E11" s="141">
        <f>SUM(C11:D11)</f>
        <v>1189899126</v>
      </c>
      <c r="F11" s="510" t="s">
        <v>287</v>
      </c>
      <c r="G11" s="350">
        <f t="shared" ref="G11:G15" si="1">G10+1</f>
        <v>3</v>
      </c>
    </row>
    <row r="12" spans="1:7" x14ac:dyDescent="0.35">
      <c r="A12" s="120">
        <f t="shared" si="0"/>
        <v>4</v>
      </c>
      <c r="C12" s="19"/>
      <c r="D12" s="28"/>
      <c r="E12" s="19"/>
      <c r="F12" s="33"/>
      <c r="G12" s="350">
        <f t="shared" si="1"/>
        <v>4</v>
      </c>
    </row>
    <row r="13" spans="1:7" x14ac:dyDescent="0.35">
      <c r="A13" s="120">
        <f t="shared" si="0"/>
        <v>5</v>
      </c>
      <c r="B13" s="50" t="s">
        <v>288</v>
      </c>
      <c r="C13" s="742">
        <f>C11/$E11</f>
        <v>0.50643713557950798</v>
      </c>
      <c r="D13" s="743">
        <f>D11/$E11</f>
        <v>0.49356286442049208</v>
      </c>
      <c r="E13" s="744">
        <f>SUM(C13:D13)</f>
        <v>1</v>
      </c>
      <c r="F13" s="33" t="s">
        <v>289</v>
      </c>
      <c r="G13" s="350">
        <f t="shared" si="1"/>
        <v>5</v>
      </c>
    </row>
    <row r="14" spans="1:7" x14ac:dyDescent="0.35">
      <c r="A14" s="120">
        <f t="shared" si="0"/>
        <v>6</v>
      </c>
      <c r="B14" s="509"/>
      <c r="C14" s="31"/>
      <c r="D14" s="54"/>
      <c r="E14" s="19"/>
      <c r="F14" s="33"/>
      <c r="G14" s="350">
        <f t="shared" si="1"/>
        <v>6</v>
      </c>
    </row>
    <row r="15" spans="1:7" ht="16" thickBot="1" x14ac:dyDescent="0.4">
      <c r="A15" s="120">
        <f t="shared" si="0"/>
        <v>7</v>
      </c>
      <c r="B15" s="50" t="s">
        <v>290</v>
      </c>
      <c r="C15" s="232">
        <f>ROUND($E$9*C13,0)</f>
        <v>-9292594</v>
      </c>
      <c r="D15" s="521">
        <f>ROUND($E$9*D13,0)</f>
        <v>-9056365</v>
      </c>
      <c r="E15" s="232">
        <f>SUM(C15:D15)</f>
        <v>-18348959</v>
      </c>
      <c r="F15" s="33" t="s">
        <v>291</v>
      </c>
      <c r="G15" s="350">
        <f t="shared" si="1"/>
        <v>7</v>
      </c>
    </row>
    <row r="16" spans="1:7" ht="16.5" thickTop="1" thickBot="1" x14ac:dyDescent="0.4">
      <c r="A16" s="121"/>
      <c r="B16" s="76"/>
      <c r="C16" s="81"/>
      <c r="D16" s="80"/>
      <c r="E16" s="81"/>
      <c r="F16" s="77"/>
      <c r="G16" s="302"/>
    </row>
    <row r="17" spans="1:7" x14ac:dyDescent="0.35">
      <c r="A17" s="37"/>
      <c r="B17" s="92"/>
      <c r="G17" s="37"/>
    </row>
    <row r="18" spans="1:7" ht="18.5" x14ac:dyDescent="0.35">
      <c r="A18" s="83">
        <v>1</v>
      </c>
      <c r="B18" s="50" t="s">
        <v>532</v>
      </c>
    </row>
    <row r="19" spans="1:7" ht="18.5" x14ac:dyDescent="0.35">
      <c r="A19" s="83">
        <v>2</v>
      </c>
      <c r="B19" s="50" t="s">
        <v>503</v>
      </c>
    </row>
    <row r="22" spans="1:7" x14ac:dyDescent="0.35">
      <c r="C22" s="858"/>
      <c r="D22" s="858"/>
      <c r="E22" s="859"/>
    </row>
    <row r="24" spans="1:7" x14ac:dyDescent="0.35">
      <c r="C24" s="143"/>
      <c r="D24" s="143"/>
      <c r="E24" s="143"/>
    </row>
    <row r="26" spans="1:7" x14ac:dyDescent="0.35">
      <c r="C26" s="143"/>
      <c r="D26" s="143"/>
      <c r="E26" s="143"/>
    </row>
  </sheetData>
  <mergeCells count="1">
    <mergeCell ref="B6:B7"/>
  </mergeCells>
  <printOptions horizontalCentered="1"/>
  <pageMargins left="0.25" right="0.25" top="0.5" bottom="0.5" header="0.25" footer="0.25"/>
  <pageSetup scale="81" orientation="landscape" r:id="rId1"/>
  <headerFooter alignWithMargins="0">
    <oddFooter>&amp;L&amp;"Times New Roman,Regular"&amp;12&amp;F&amp;C&amp;"Times New Roman,Regular"&amp;12Page 3.1&amp;R&amp;"Times New Roman,Regular"&amp;12&amp;A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72"/>
  <sheetViews>
    <sheetView zoomScale="80" zoomScaleNormal="80" workbookViewId="0">
      <pane xSplit="2" ySplit="5" topLeftCell="J6" activePane="bottomRight" state="frozen"/>
      <selection pane="topRight"/>
      <selection pane="bottomLeft"/>
      <selection pane="bottomRight"/>
    </sheetView>
  </sheetViews>
  <sheetFormatPr defaultColWidth="9.1796875" defaultRowHeight="12.5" x14ac:dyDescent="0.25"/>
  <cols>
    <col min="1" max="1" width="5.54296875" style="243" customWidth="1"/>
    <col min="2" max="2" width="66.54296875" style="243" customWidth="1"/>
    <col min="3" max="4" width="16.54296875" style="243" customWidth="1"/>
    <col min="5" max="5" width="17.1796875" style="243" customWidth="1"/>
    <col min="6" max="7" width="16.54296875" style="243" customWidth="1"/>
    <col min="8" max="8" width="17.54296875" style="243" customWidth="1"/>
    <col min="9" max="11" width="16.54296875" style="243" customWidth="1"/>
    <col min="12" max="12" width="15.54296875" style="243" bestFit="1" customWidth="1"/>
    <col min="13" max="15" width="16.54296875" style="243" customWidth="1"/>
    <col min="16" max="16" width="37.453125" style="243" bestFit="1" customWidth="1"/>
    <col min="17" max="17" width="5.54296875" style="243" customWidth="1"/>
    <col min="18" max="18" width="9.1796875" style="243"/>
    <col min="19" max="19" width="2.54296875" style="243" bestFit="1" customWidth="1"/>
    <col min="20" max="16384" width="9.1796875" style="243"/>
  </cols>
  <sheetData>
    <row r="1" spans="1:17" ht="15.5" x14ac:dyDescent="0.35">
      <c r="A1" s="22"/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22"/>
    </row>
    <row r="2" spans="1:17" ht="16" thickBot="1" x14ac:dyDescent="0.4">
      <c r="A2" s="22"/>
      <c r="B2" s="88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22"/>
    </row>
    <row r="3" spans="1:17" ht="15" x14ac:dyDescent="0.3">
      <c r="A3" s="601"/>
      <c r="B3" s="601"/>
      <c r="C3" s="287"/>
      <c r="D3" s="546"/>
      <c r="E3" s="603"/>
      <c r="F3" s="704"/>
      <c r="G3" s="287"/>
      <c r="H3" s="546"/>
      <c r="I3" s="603"/>
      <c r="J3" s="548"/>
      <c r="K3" s="287"/>
      <c r="L3" s="603"/>
      <c r="M3" s="546"/>
      <c r="N3" s="559"/>
      <c r="O3" s="602"/>
      <c r="P3" s="601"/>
      <c r="Q3" s="704"/>
    </row>
    <row r="4" spans="1:17" ht="15" x14ac:dyDescent="0.3">
      <c r="A4" s="186" t="s">
        <v>8</v>
      </c>
      <c r="B4" s="354"/>
      <c r="C4" s="551" t="s">
        <v>292</v>
      </c>
      <c r="D4" s="75" t="s">
        <v>293</v>
      </c>
      <c r="E4" s="578" t="s">
        <v>294</v>
      </c>
      <c r="F4" s="705" t="s">
        <v>295</v>
      </c>
      <c r="G4" s="551" t="s">
        <v>296</v>
      </c>
      <c r="H4" s="75" t="s">
        <v>297</v>
      </c>
      <c r="I4" s="578" t="s">
        <v>298</v>
      </c>
      <c r="J4" s="552" t="s">
        <v>58</v>
      </c>
      <c r="K4" s="551" t="s">
        <v>59</v>
      </c>
      <c r="L4" s="578" t="s">
        <v>60</v>
      </c>
      <c r="M4" s="75" t="s">
        <v>299</v>
      </c>
      <c r="N4" s="552" t="s">
        <v>300</v>
      </c>
      <c r="O4" s="90"/>
      <c r="P4" s="186"/>
      <c r="Q4" s="705" t="s">
        <v>8</v>
      </c>
    </row>
    <row r="5" spans="1:17" ht="15.5" thickBot="1" x14ac:dyDescent="0.35">
      <c r="A5" s="181" t="s">
        <v>11</v>
      </c>
      <c r="B5" s="181" t="s">
        <v>71</v>
      </c>
      <c r="C5" s="569">
        <v>2021</v>
      </c>
      <c r="D5" s="153">
        <v>2021</v>
      </c>
      <c r="E5" s="583">
        <v>2021</v>
      </c>
      <c r="F5" s="572">
        <f>E5+1</f>
        <v>2022</v>
      </c>
      <c r="G5" s="569">
        <f>$F$5</f>
        <v>2022</v>
      </c>
      <c r="H5" s="153">
        <f>$F$5</f>
        <v>2022</v>
      </c>
      <c r="I5" s="583">
        <f t="shared" ref="I5:N5" si="0">$F$5</f>
        <v>2022</v>
      </c>
      <c r="J5" s="570">
        <f t="shared" si="0"/>
        <v>2022</v>
      </c>
      <c r="K5" s="569">
        <f t="shared" si="0"/>
        <v>2022</v>
      </c>
      <c r="L5" s="583">
        <f t="shared" si="0"/>
        <v>2022</v>
      </c>
      <c r="M5" s="153">
        <f t="shared" si="0"/>
        <v>2022</v>
      </c>
      <c r="N5" s="570">
        <f t="shared" si="0"/>
        <v>2022</v>
      </c>
      <c r="O5" s="604" t="s">
        <v>18</v>
      </c>
      <c r="P5" s="181" t="s">
        <v>16</v>
      </c>
      <c r="Q5" s="572" t="s">
        <v>11</v>
      </c>
    </row>
    <row r="6" spans="1:17" ht="15.5" x14ac:dyDescent="0.35">
      <c r="A6" s="125"/>
      <c r="B6" s="804"/>
      <c r="C6" s="551"/>
      <c r="D6" s="75"/>
      <c r="E6" s="578"/>
      <c r="F6" s="705"/>
      <c r="G6" s="551"/>
      <c r="H6" s="75"/>
      <c r="I6" s="578"/>
      <c r="J6" s="552"/>
      <c r="K6" s="551"/>
      <c r="L6" s="578"/>
      <c r="M6" s="75"/>
      <c r="N6" s="552"/>
      <c r="O6" s="90"/>
      <c r="P6" s="597"/>
      <c r="Q6" s="123"/>
    </row>
    <row r="7" spans="1:17" ht="15.5" x14ac:dyDescent="0.35">
      <c r="A7" s="120">
        <v>1</v>
      </c>
      <c r="B7" s="125" t="s">
        <v>301</v>
      </c>
      <c r="C7" s="266">
        <v>-3702231.49</v>
      </c>
      <c r="D7" s="19">
        <f t="shared" ref="D7:K7" si="1">C38</f>
        <v>-3231122.1002370426</v>
      </c>
      <c r="E7" s="240">
        <f t="shared" si="1"/>
        <v>-2891159.2687329464</v>
      </c>
      <c r="F7" s="706">
        <f t="shared" si="1"/>
        <v>-2288109.9763850323</v>
      </c>
      <c r="G7" s="266">
        <f t="shared" si="1"/>
        <v>-1361788.1965638737</v>
      </c>
      <c r="H7" s="19">
        <f t="shared" si="1"/>
        <v>-724184.37598866445</v>
      </c>
      <c r="I7" s="240">
        <f t="shared" si="1"/>
        <v>371448.14970308042</v>
      </c>
      <c r="J7" s="278">
        <f t="shared" si="1"/>
        <v>-274807.80562366714</v>
      </c>
      <c r="K7" s="281">
        <f t="shared" si="1"/>
        <v>-1756879.2518375604</v>
      </c>
      <c r="L7" s="240">
        <f>K38</f>
        <v>-4455195.4003893323</v>
      </c>
      <c r="M7" s="19">
        <f>L38</f>
        <v>-6573756.8084022067</v>
      </c>
      <c r="N7" s="278">
        <f>M38</f>
        <v>-9532171.3783643246</v>
      </c>
      <c r="O7" s="28">
        <f>C7</f>
        <v>-3702231.49</v>
      </c>
      <c r="P7" s="883" t="s">
        <v>302</v>
      </c>
      <c r="Q7" s="350">
        <v>1</v>
      </c>
    </row>
    <row r="8" spans="1:17" ht="15.5" x14ac:dyDescent="0.35">
      <c r="A8" s="120">
        <f>A7+1</f>
        <v>2</v>
      </c>
      <c r="B8" s="125"/>
      <c r="C8" s="268"/>
      <c r="D8" s="79"/>
      <c r="E8" s="252"/>
      <c r="F8" s="707"/>
      <c r="G8" s="268"/>
      <c r="H8" s="79"/>
      <c r="I8" s="252"/>
      <c r="J8" s="288"/>
      <c r="K8" s="268"/>
      <c r="L8" s="252"/>
      <c r="M8" s="79"/>
      <c r="N8" s="288"/>
      <c r="O8" s="870"/>
      <c r="P8" s="884"/>
      <c r="Q8" s="350">
        <f>Q7+1</f>
        <v>2</v>
      </c>
    </row>
    <row r="9" spans="1:17" ht="15.5" x14ac:dyDescent="0.35">
      <c r="A9" s="120">
        <f t="shared" ref="A9:A44" si="2">A8+1</f>
        <v>3</v>
      </c>
      <c r="B9" s="125" t="s">
        <v>303</v>
      </c>
      <c r="C9" s="268"/>
      <c r="D9" s="79"/>
      <c r="E9" s="252"/>
      <c r="F9" s="707"/>
      <c r="G9" s="268"/>
      <c r="H9" s="79"/>
      <c r="I9" s="252"/>
      <c r="J9" s="288"/>
      <c r="K9" s="268"/>
      <c r="L9" s="252"/>
      <c r="M9" s="79"/>
      <c r="N9" s="288"/>
      <c r="O9" s="870"/>
      <c r="P9" s="884"/>
      <c r="Q9" s="350">
        <f t="shared" ref="Q9:Q37" si="3">Q8+1</f>
        <v>3</v>
      </c>
    </row>
    <row r="10" spans="1:17" ht="15.5" x14ac:dyDescent="0.35">
      <c r="A10" s="120">
        <f t="shared" si="2"/>
        <v>4</v>
      </c>
      <c r="B10" s="125" t="s">
        <v>304</v>
      </c>
      <c r="C10" s="268">
        <f>'WP 1.1 Recorded Sales'!C41</f>
        <v>1583020522</v>
      </c>
      <c r="D10" s="79">
        <f>'WP 1.1 Recorded Sales'!D41</f>
        <v>1383415828</v>
      </c>
      <c r="E10" s="252">
        <f>'WP 1.1 Recorded Sales'!E41</f>
        <v>1524367369</v>
      </c>
      <c r="F10" s="288">
        <f>'WP 1.1 Recorded Sales'!F41</f>
        <v>1439117391</v>
      </c>
      <c r="G10" s="268">
        <f>'WP 1.1 Recorded Sales'!G41</f>
        <v>1168519249</v>
      </c>
      <c r="H10" s="79">
        <f>'WP 1.1 Recorded Sales'!H41</f>
        <v>1556442414</v>
      </c>
      <c r="I10" s="79">
        <f>'WP 1.1 Recorded Sales'!I41</f>
        <v>1193610148</v>
      </c>
      <c r="J10" s="288">
        <f>'WP 1.1 Recorded Sales'!J41</f>
        <v>1172381309</v>
      </c>
      <c r="K10" s="268">
        <f>'WP 1.1 Recorded Sales'!K41</f>
        <v>1462870527</v>
      </c>
      <c r="L10" s="79">
        <f>'WP 1.1 Recorded Sales'!L41</f>
        <v>1502705325</v>
      </c>
      <c r="M10" s="79">
        <f>'WP 1.1 Recorded Sales'!M41</f>
        <v>1826285933</v>
      </c>
      <c r="N10" s="288">
        <f>'WP 1.1 Recorded Sales'!N41</f>
        <v>1898278713.0000002</v>
      </c>
      <c r="O10" s="54">
        <f>SUM(C10:N10)</f>
        <v>17711014728</v>
      </c>
      <c r="P10" s="883" t="s">
        <v>305</v>
      </c>
      <c r="Q10" s="350">
        <f t="shared" si="3"/>
        <v>4</v>
      </c>
    </row>
    <row r="11" spans="1:17" ht="32.75" customHeight="1" x14ac:dyDescent="0.35">
      <c r="A11" s="120">
        <f t="shared" si="2"/>
        <v>5</v>
      </c>
      <c r="B11" s="125" t="s">
        <v>306</v>
      </c>
      <c r="C11" s="271">
        <f>C48</f>
        <v>-1.23E-3</v>
      </c>
      <c r="D11" s="102">
        <f>C11</f>
        <v>-1.23E-3</v>
      </c>
      <c r="E11" s="308">
        <f>D11</f>
        <v>-1.23E-3</v>
      </c>
      <c r="F11" s="805">
        <f>C51</f>
        <v>-1.2650000000000001E-3</v>
      </c>
      <c r="G11" s="271">
        <f>C49</f>
        <v>-1.2999999999999999E-3</v>
      </c>
      <c r="H11" s="102">
        <f>C49</f>
        <v>-1.2999999999999999E-3</v>
      </c>
      <c r="I11" s="308">
        <f t="shared" ref="I11:N11" si="4">H11</f>
        <v>-1.2999999999999999E-3</v>
      </c>
      <c r="J11" s="272">
        <f t="shared" si="4"/>
        <v>-1.2999999999999999E-3</v>
      </c>
      <c r="K11" s="271">
        <f t="shared" si="4"/>
        <v>-1.2999999999999999E-3</v>
      </c>
      <c r="L11" s="308">
        <f t="shared" si="4"/>
        <v>-1.2999999999999999E-3</v>
      </c>
      <c r="M11" s="102">
        <f t="shared" si="4"/>
        <v>-1.2999999999999999E-3</v>
      </c>
      <c r="N11" s="272">
        <f t="shared" si="4"/>
        <v>-1.2999999999999999E-3</v>
      </c>
      <c r="O11" s="871"/>
      <c r="P11" s="885" t="s">
        <v>515</v>
      </c>
      <c r="Q11" s="350">
        <f t="shared" si="3"/>
        <v>5</v>
      </c>
    </row>
    <row r="12" spans="1:17" ht="15.5" x14ac:dyDescent="0.35">
      <c r="A12" s="120">
        <f t="shared" si="2"/>
        <v>6</v>
      </c>
      <c r="B12" s="125" t="s">
        <v>307</v>
      </c>
      <c r="C12" s="273">
        <f>C10*C11</f>
        <v>-1947115.2420599998</v>
      </c>
      <c r="D12" s="21">
        <f t="shared" ref="D12:M12" si="5">D10*D11</f>
        <v>-1701601.46844</v>
      </c>
      <c r="E12" s="134">
        <f t="shared" si="5"/>
        <v>-1874971.86387</v>
      </c>
      <c r="F12" s="708">
        <f t="shared" si="5"/>
        <v>-1820483.4996150001</v>
      </c>
      <c r="G12" s="273">
        <f t="shared" si="5"/>
        <v>-1519075.0237</v>
      </c>
      <c r="H12" s="21">
        <f t="shared" si="5"/>
        <v>-2023375.1381999999</v>
      </c>
      <c r="I12" s="134">
        <f t="shared" si="5"/>
        <v>-1551693.1923999998</v>
      </c>
      <c r="J12" s="289">
        <f t="shared" si="5"/>
        <v>-1524095.7016999999</v>
      </c>
      <c r="K12" s="692">
        <f t="shared" si="5"/>
        <v>-1901731.6850999999</v>
      </c>
      <c r="L12" s="134">
        <f t="shared" si="5"/>
        <v>-1953516.9224999999</v>
      </c>
      <c r="M12" s="21">
        <f t="shared" si="5"/>
        <v>-2374171.7128999997</v>
      </c>
      <c r="N12" s="289">
        <f>(N10*N11)</f>
        <v>-2467762.3269000002</v>
      </c>
      <c r="O12" s="872">
        <f>SUM(C12:N12)</f>
        <v>-22659593.777385</v>
      </c>
      <c r="P12" s="883" t="s">
        <v>308</v>
      </c>
      <c r="Q12" s="350">
        <f t="shared" si="3"/>
        <v>6</v>
      </c>
    </row>
    <row r="13" spans="1:17" ht="15.5" x14ac:dyDescent="0.35">
      <c r="A13" s="120">
        <f t="shared" si="2"/>
        <v>7</v>
      </c>
      <c r="B13" s="125" t="s">
        <v>309</v>
      </c>
      <c r="C13" s="606">
        <f>(+C12/(1+C44)*C$44)</f>
        <v>-23097.829043265891</v>
      </c>
      <c r="D13" s="605">
        <f t="shared" ref="D13:M13" si="6">(+D12/(1+D44)*D$44)</f>
        <v>-20185.399902789213</v>
      </c>
      <c r="E13" s="887">
        <f t="shared" si="6"/>
        <v>-22242.021754595433</v>
      </c>
      <c r="F13" s="607">
        <f t="shared" si="6"/>
        <v>-21382.317548856125</v>
      </c>
      <c r="G13" s="606">
        <f t="shared" si="6"/>
        <v>-17842.152672165808</v>
      </c>
      <c r="H13" s="605">
        <f t="shared" si="6"/>
        <v>-23765.362187903764</v>
      </c>
      <c r="I13" s="605">
        <f t="shared" si="6"/>
        <v>-18225.266301678548</v>
      </c>
      <c r="J13" s="607">
        <f t="shared" si="6"/>
        <v>-17901.122572925284</v>
      </c>
      <c r="K13" s="606">
        <f t="shared" si="6"/>
        <v>-22336.610462071778</v>
      </c>
      <c r="L13" s="605">
        <f t="shared" si="6"/>
        <v>-22944.849092448745</v>
      </c>
      <c r="M13" s="605">
        <f t="shared" si="6"/>
        <v>-27885.610329055668</v>
      </c>
      <c r="N13" s="693">
        <f>(+N12/(1+N44)*N$44)</f>
        <v>-28984.870074372586</v>
      </c>
      <c r="O13" s="332">
        <f>SUM(C13:N13)</f>
        <v>-266793.41194212885</v>
      </c>
      <c r="P13" s="883" t="s">
        <v>310</v>
      </c>
      <c r="Q13" s="350">
        <f t="shared" si="3"/>
        <v>7</v>
      </c>
    </row>
    <row r="14" spans="1:17" ht="15.5" x14ac:dyDescent="0.35">
      <c r="A14" s="120">
        <f t="shared" si="2"/>
        <v>8</v>
      </c>
      <c r="B14" s="125" t="s">
        <v>311</v>
      </c>
      <c r="C14" s="275">
        <f t="shared" ref="C14:N14" si="7">C12-C13</f>
        <v>-1924017.4130167339</v>
      </c>
      <c r="D14" s="97">
        <f t="shared" si="7"/>
        <v>-1681416.0685372108</v>
      </c>
      <c r="E14" s="254">
        <f t="shared" si="7"/>
        <v>-1852729.8421154045</v>
      </c>
      <c r="F14" s="709">
        <f t="shared" si="7"/>
        <v>-1799101.182066144</v>
      </c>
      <c r="G14" s="275">
        <f t="shared" si="7"/>
        <v>-1501232.8710278342</v>
      </c>
      <c r="H14" s="97">
        <f t="shared" si="7"/>
        <v>-1999609.7760120961</v>
      </c>
      <c r="I14" s="254">
        <f t="shared" si="7"/>
        <v>-1533467.9260983213</v>
      </c>
      <c r="J14" s="276">
        <f t="shared" si="7"/>
        <v>-1506194.5791270747</v>
      </c>
      <c r="K14" s="275">
        <f t="shared" si="7"/>
        <v>-1879395.074637928</v>
      </c>
      <c r="L14" s="254">
        <f t="shared" si="7"/>
        <v>-1930572.073407551</v>
      </c>
      <c r="M14" s="97">
        <f t="shared" si="7"/>
        <v>-2346286.102570944</v>
      </c>
      <c r="N14" s="276">
        <f t="shared" si="7"/>
        <v>-2438777.4568256275</v>
      </c>
      <c r="O14" s="873">
        <f>SUM(C14:N14)</f>
        <v>-22392800.365442872</v>
      </c>
      <c r="P14" s="883" t="s">
        <v>312</v>
      </c>
      <c r="Q14" s="350">
        <f t="shared" si="3"/>
        <v>8</v>
      </c>
    </row>
    <row r="15" spans="1:17" ht="15.5" x14ac:dyDescent="0.35">
      <c r="A15" s="120">
        <f t="shared" si="2"/>
        <v>9</v>
      </c>
      <c r="B15" s="125"/>
      <c r="C15" s="268"/>
      <c r="D15" s="79"/>
      <c r="E15" s="252"/>
      <c r="F15" s="707"/>
      <c r="G15" s="268"/>
      <c r="H15" s="79"/>
      <c r="I15" s="252"/>
      <c r="J15" s="288"/>
      <c r="K15" s="268"/>
      <c r="L15" s="252"/>
      <c r="M15" s="79"/>
      <c r="N15" s="345"/>
      <c r="O15" s="870"/>
      <c r="P15" s="884"/>
      <c r="Q15" s="350">
        <f t="shared" si="3"/>
        <v>9</v>
      </c>
    </row>
    <row r="16" spans="1:17" ht="15.5" x14ac:dyDescent="0.35">
      <c r="A16" s="120">
        <f t="shared" si="2"/>
        <v>10</v>
      </c>
      <c r="B16" s="125" t="s">
        <v>313</v>
      </c>
      <c r="C16" s="268"/>
      <c r="D16" s="79"/>
      <c r="E16" s="252"/>
      <c r="F16" s="707"/>
      <c r="G16" s="268"/>
      <c r="H16" s="79"/>
      <c r="I16" s="252"/>
      <c r="J16" s="288"/>
      <c r="K16" s="268"/>
      <c r="L16" s="252"/>
      <c r="M16" s="79"/>
      <c r="N16" s="288"/>
      <c r="O16" s="870"/>
      <c r="P16" s="884"/>
      <c r="Q16" s="350">
        <f t="shared" si="3"/>
        <v>10</v>
      </c>
    </row>
    <row r="17" spans="1:17" ht="15.5" x14ac:dyDescent="0.35">
      <c r="A17" s="120">
        <f t="shared" si="2"/>
        <v>11</v>
      </c>
      <c r="B17" s="125" t="s">
        <v>314</v>
      </c>
      <c r="C17" s="269">
        <f>'WP 5 CAISO Charges'!C10</f>
        <v>-1319870.51</v>
      </c>
      <c r="D17" s="31">
        <f>'WP 5 CAISO Charges'!D10</f>
        <v>-1227017.3299999998</v>
      </c>
      <c r="E17" s="239">
        <f>'WP 5 CAISO Charges'!E10</f>
        <v>-1350410.17</v>
      </c>
      <c r="F17" s="118">
        <f>'WP 5 CAISO Charges'!F10</f>
        <v>-755732.45000000007</v>
      </c>
      <c r="G17" s="269">
        <f>'WP 5 CAISO Charges'!G10</f>
        <v>-790404.02</v>
      </c>
      <c r="H17" s="31">
        <f>'WP 5 CAISO Charges'!H10</f>
        <v>-832517.15</v>
      </c>
      <c r="I17" s="239">
        <f>'WP 5 CAISO Charges'!I10</f>
        <v>-2231213.08</v>
      </c>
      <c r="J17" s="270">
        <f>'WP 5 CAISO Charges'!J10</f>
        <v>-2969610.02</v>
      </c>
      <c r="K17" s="269">
        <f>'WP 5 CAISO Charges'!K10</f>
        <v>-4504342.63</v>
      </c>
      <c r="L17" s="239">
        <f>'WP 5 CAISO Charges'!L10</f>
        <v>-3953818.65</v>
      </c>
      <c r="M17" s="31">
        <f>'WP 5 CAISO Charges'!M10</f>
        <v>-5217612.79</v>
      </c>
      <c r="N17" s="270">
        <f>'WP 5 CAISO Charges'!N10</f>
        <v>-4194330.0799999991</v>
      </c>
      <c r="O17" s="54">
        <f>SUM(C17:N17)</f>
        <v>-29346878.879999995</v>
      </c>
      <c r="P17" s="883" t="s">
        <v>315</v>
      </c>
      <c r="Q17" s="350">
        <f t="shared" si="3"/>
        <v>11</v>
      </c>
    </row>
    <row r="18" spans="1:17" ht="15.5" x14ac:dyDescent="0.35">
      <c r="A18" s="120">
        <f t="shared" si="2"/>
        <v>12</v>
      </c>
      <c r="B18" s="125" t="s">
        <v>316</v>
      </c>
      <c r="C18" s="269">
        <f>'WP 5 CAISO Charges'!C13</f>
        <v>1500</v>
      </c>
      <c r="D18" s="31">
        <f>'WP 5 CAISO Charges'!D13</f>
        <v>1500</v>
      </c>
      <c r="E18" s="239">
        <f>'WP 5 CAISO Charges'!E13</f>
        <v>1500</v>
      </c>
      <c r="F18" s="118">
        <f>'WP 5 CAISO Charges'!F13</f>
        <v>1500</v>
      </c>
      <c r="G18" s="269">
        <f>'WP 5 CAISO Charges'!G13</f>
        <v>1500</v>
      </c>
      <c r="H18" s="31">
        <f>'WP 5 CAISO Charges'!H13</f>
        <v>1500</v>
      </c>
      <c r="I18" s="239">
        <f>'WP 5 CAISO Charges'!I13</f>
        <v>1500</v>
      </c>
      <c r="J18" s="270">
        <f>'WP 5 CAISO Charges'!J13</f>
        <v>1500</v>
      </c>
      <c r="K18" s="269">
        <f>'WP 5 CAISO Charges'!K13</f>
        <v>1500</v>
      </c>
      <c r="L18" s="239">
        <f>'WP 5 CAISO Charges'!L13</f>
        <v>1500</v>
      </c>
      <c r="M18" s="31">
        <f>'WP 5 CAISO Charges'!M13</f>
        <v>1500</v>
      </c>
      <c r="N18" s="270">
        <f>'WP 5 CAISO Charges'!N13</f>
        <v>1500</v>
      </c>
      <c r="O18" s="54">
        <f>SUM(C18:N18)</f>
        <v>18000</v>
      </c>
      <c r="P18" s="883" t="s">
        <v>317</v>
      </c>
      <c r="Q18" s="350">
        <f t="shared" si="3"/>
        <v>12</v>
      </c>
    </row>
    <row r="19" spans="1:17" ht="15.5" x14ac:dyDescent="0.35">
      <c r="A19" s="120">
        <f>A18+1</f>
        <v>13</v>
      </c>
      <c r="B19" s="125" t="s">
        <v>318</v>
      </c>
      <c r="C19" s="116">
        <f>'WP 5 CAISO Charges'!C16</f>
        <v>-116896.19999999997</v>
      </c>
      <c r="D19" s="31">
        <f>'WP 5 CAISO Charges'!D16</f>
        <v>-92653.579999999973</v>
      </c>
      <c r="E19" s="239">
        <f>'WP 5 CAISO Charges'!E16</f>
        <v>112616.98000000001</v>
      </c>
      <c r="F19" s="118">
        <f>'WP 5 CAISO Charges'!F16</f>
        <v>-110138.31999999996</v>
      </c>
      <c r="G19" s="269">
        <f>'WP 5 CAISO Charges'!G16</f>
        <v>-73571.67</v>
      </c>
      <c r="H19" s="239">
        <f>'WP 5 CAISO Charges'!H16</f>
        <v>-92521.089999999982</v>
      </c>
      <c r="I19" s="54">
        <f>'WP 5 CAISO Charges'!I16</f>
        <v>-95322.360000000015</v>
      </c>
      <c r="J19" s="270">
        <f>'WP 5 CAISO Charges'!J16</f>
        <v>-55480.089999999975</v>
      </c>
      <c r="K19" s="269">
        <f>'WP 5 CAISO Charges'!K16</f>
        <v>-65693.819999999978</v>
      </c>
      <c r="L19" s="54">
        <f>'WP 5 CAISO Charges'!L16</f>
        <v>-83198.849999999962</v>
      </c>
      <c r="M19" s="31">
        <f>'WP 5 CAISO Charges'!M16</f>
        <v>-58424.279999999992</v>
      </c>
      <c r="N19" s="118">
        <f>'WP 5 CAISO Charges'!N16</f>
        <v>40230.639999999948</v>
      </c>
      <c r="O19" s="54">
        <f>SUM(C19:N19)</f>
        <v>-691052.6399999999</v>
      </c>
      <c r="P19" s="883" t="s">
        <v>319</v>
      </c>
      <c r="Q19" s="350">
        <f>Q18+1</f>
        <v>13</v>
      </c>
    </row>
    <row r="20" spans="1:17" ht="15.5" x14ac:dyDescent="0.35">
      <c r="A20" s="120">
        <f t="shared" ref="A20:A21" si="8">A19+1</f>
        <v>14</v>
      </c>
      <c r="B20" s="125" t="s">
        <v>320</v>
      </c>
      <c r="C20" s="330">
        <f>'WP 5 CAISO Charges'!C19</f>
        <v>-7947.19</v>
      </c>
      <c r="D20" s="38">
        <f>'WP 5 CAISO Charges'!D19</f>
        <v>-15028.39</v>
      </c>
      <c r="E20" s="253">
        <f>'WP 5 CAISO Charges'!E19</f>
        <v>-6146.52</v>
      </c>
      <c r="F20" s="331">
        <f>'WP 5 CAISO Charges'!F19</f>
        <v>-3304.92</v>
      </c>
      <c r="G20" s="274">
        <f>'WP 5 CAISO Charges'!G19</f>
        <v>1450.85</v>
      </c>
      <c r="H20" s="253">
        <f>'WP 5 CAISO Charges'!H19</f>
        <v>20054.129999999997</v>
      </c>
      <c r="I20" s="332">
        <f>'WP 5 CAISO Charges'!I19</f>
        <v>145181.26999999999</v>
      </c>
      <c r="J20" s="277">
        <f>'WP 5 CAISO Charges'!J19</f>
        <v>38164.47</v>
      </c>
      <c r="K20" s="274">
        <f>'WP 5 CAISO Charges'!K19</f>
        <v>-798.78</v>
      </c>
      <c r="L20" s="332">
        <f>'WP 5 CAISO Charges'!L19</f>
        <v>3451.4400000000005</v>
      </c>
      <c r="M20" s="38">
        <f>'WP 5 CAISO Charges'!M19</f>
        <v>-5237.05</v>
      </c>
      <c r="N20" s="331">
        <f>'WP 5 CAISO Charges'!N19</f>
        <v>-654299.5199999999</v>
      </c>
      <c r="O20" s="332">
        <f>SUM(C20:N20)</f>
        <v>-484460.2099999999</v>
      </c>
      <c r="P20" s="883" t="s">
        <v>321</v>
      </c>
      <c r="Q20" s="350">
        <f t="shared" ref="Q20:Q22" si="9">Q19+1</f>
        <v>14</v>
      </c>
    </row>
    <row r="21" spans="1:17" ht="15.5" x14ac:dyDescent="0.35">
      <c r="A21" s="120">
        <f t="shared" si="8"/>
        <v>15</v>
      </c>
      <c r="B21" s="149" t="s">
        <v>322</v>
      </c>
      <c r="C21" s="266">
        <f t="shared" ref="C21:O21" si="10">SUM(C17:C20)</f>
        <v>-1443213.9</v>
      </c>
      <c r="D21" s="19">
        <f t="shared" si="10"/>
        <v>-1333199.2999999998</v>
      </c>
      <c r="E21" s="240">
        <f t="shared" si="10"/>
        <v>-1242439.71</v>
      </c>
      <c r="F21" s="706">
        <f t="shared" si="10"/>
        <v>-867675.69000000006</v>
      </c>
      <c r="G21" s="266">
        <f t="shared" si="10"/>
        <v>-861024.84000000008</v>
      </c>
      <c r="H21" s="19">
        <f t="shared" si="10"/>
        <v>-903484.11</v>
      </c>
      <c r="I21" s="240">
        <f t="shared" si="10"/>
        <v>-2179854.17</v>
      </c>
      <c r="J21" s="278">
        <f t="shared" si="10"/>
        <v>-2985425.6399999997</v>
      </c>
      <c r="K21" s="266">
        <f t="shared" si="10"/>
        <v>-4569335.2300000004</v>
      </c>
      <c r="L21" s="240">
        <f t="shared" si="10"/>
        <v>-4032066.06</v>
      </c>
      <c r="M21" s="19">
        <f t="shared" si="10"/>
        <v>-5279774.12</v>
      </c>
      <c r="N21" s="278">
        <f t="shared" si="10"/>
        <v>-4806898.959999999</v>
      </c>
      <c r="O21" s="28">
        <f t="shared" si="10"/>
        <v>-30504391.729999997</v>
      </c>
      <c r="P21" s="883" t="s">
        <v>323</v>
      </c>
      <c r="Q21" s="350">
        <f t="shared" si="9"/>
        <v>15</v>
      </c>
    </row>
    <row r="22" spans="1:17" ht="15.5" x14ac:dyDescent="0.35">
      <c r="A22" s="120">
        <f t="shared" si="2"/>
        <v>16</v>
      </c>
      <c r="B22" s="149"/>
      <c r="C22" s="269"/>
      <c r="D22" s="31"/>
      <c r="E22" s="239"/>
      <c r="F22" s="118"/>
      <c r="G22" s="269"/>
      <c r="H22" s="31"/>
      <c r="I22" s="239"/>
      <c r="J22" s="270"/>
      <c r="K22" s="290"/>
      <c r="L22" s="239"/>
      <c r="M22" s="31"/>
      <c r="N22" s="270"/>
      <c r="O22" s="54"/>
      <c r="P22" s="883"/>
      <c r="Q22" s="350">
        <f t="shared" si="9"/>
        <v>16</v>
      </c>
    </row>
    <row r="23" spans="1:17" ht="15.5" x14ac:dyDescent="0.35">
      <c r="A23" s="120">
        <f t="shared" si="2"/>
        <v>17</v>
      </c>
      <c r="B23" s="149" t="s">
        <v>324</v>
      </c>
      <c r="C23" s="290">
        <v>0</v>
      </c>
      <c r="D23" s="31">
        <v>0</v>
      </c>
      <c r="E23" s="239">
        <v>0</v>
      </c>
      <c r="F23" s="118">
        <v>0</v>
      </c>
      <c r="G23" s="380">
        <v>0</v>
      </c>
      <c r="H23" s="163">
        <v>0</v>
      </c>
      <c r="I23" s="239">
        <v>0</v>
      </c>
      <c r="J23" s="270">
        <v>0</v>
      </c>
      <c r="K23" s="290">
        <v>0</v>
      </c>
      <c r="L23" s="239">
        <v>0</v>
      </c>
      <c r="M23" s="31">
        <v>0</v>
      </c>
      <c r="N23" s="277">
        <v>0</v>
      </c>
      <c r="O23" s="54">
        <f>SUM(C23:N23)</f>
        <v>0</v>
      </c>
      <c r="P23" s="883" t="str">
        <f>B23</f>
        <v>Other CAISO Adjustment</v>
      </c>
      <c r="Q23" s="350">
        <f t="shared" si="3"/>
        <v>17</v>
      </c>
    </row>
    <row r="24" spans="1:17" ht="15.5" x14ac:dyDescent="0.35">
      <c r="A24" s="120">
        <f t="shared" si="2"/>
        <v>18</v>
      </c>
      <c r="B24" s="125" t="s">
        <v>325</v>
      </c>
      <c r="C24" s="275">
        <f t="shared" ref="C24:O24" si="11">SUM(C23:C23)</f>
        <v>0</v>
      </c>
      <c r="D24" s="97">
        <f>SUM(D23:D23)</f>
        <v>0</v>
      </c>
      <c r="E24" s="254">
        <f t="shared" si="11"/>
        <v>0</v>
      </c>
      <c r="F24" s="709">
        <f t="shared" si="11"/>
        <v>0</v>
      </c>
      <c r="G24" s="275">
        <f t="shared" si="11"/>
        <v>0</v>
      </c>
      <c r="H24" s="97">
        <f t="shared" si="11"/>
        <v>0</v>
      </c>
      <c r="I24" s="254">
        <f t="shared" si="11"/>
        <v>0</v>
      </c>
      <c r="J24" s="276">
        <f t="shared" si="11"/>
        <v>0</v>
      </c>
      <c r="K24" s="275">
        <f t="shared" si="11"/>
        <v>0</v>
      </c>
      <c r="L24" s="254">
        <f t="shared" si="11"/>
        <v>0</v>
      </c>
      <c r="M24" s="97">
        <f t="shared" si="11"/>
        <v>0</v>
      </c>
      <c r="N24" s="276">
        <f t="shared" si="11"/>
        <v>0</v>
      </c>
      <c r="O24" s="873">
        <f t="shared" si="11"/>
        <v>0</v>
      </c>
      <c r="P24" s="883" t="s">
        <v>326</v>
      </c>
      <c r="Q24" s="350">
        <f t="shared" si="3"/>
        <v>18</v>
      </c>
    </row>
    <row r="25" spans="1:17" ht="15.5" x14ac:dyDescent="0.35">
      <c r="A25" s="120">
        <f t="shared" si="2"/>
        <v>19</v>
      </c>
      <c r="B25" s="149" t="s">
        <v>327</v>
      </c>
      <c r="C25" s="275">
        <f>C21+C24</f>
        <v>-1443213.9</v>
      </c>
      <c r="D25" s="97">
        <f>D21+D24</f>
        <v>-1333199.2999999998</v>
      </c>
      <c r="E25" s="254">
        <f t="shared" ref="E25:N25" si="12">E21+E24</f>
        <v>-1242439.71</v>
      </c>
      <c r="F25" s="709">
        <f t="shared" si="12"/>
        <v>-867675.69000000006</v>
      </c>
      <c r="G25" s="275">
        <f t="shared" si="12"/>
        <v>-861024.84000000008</v>
      </c>
      <c r="H25" s="97">
        <f t="shared" si="12"/>
        <v>-903484.11</v>
      </c>
      <c r="I25" s="254">
        <f t="shared" si="12"/>
        <v>-2179854.17</v>
      </c>
      <c r="J25" s="276">
        <f t="shared" si="12"/>
        <v>-2985425.6399999997</v>
      </c>
      <c r="K25" s="275">
        <f t="shared" si="12"/>
        <v>-4569335.2300000004</v>
      </c>
      <c r="L25" s="254">
        <f t="shared" si="12"/>
        <v>-4032066.06</v>
      </c>
      <c r="M25" s="97">
        <f t="shared" si="12"/>
        <v>-5279774.12</v>
      </c>
      <c r="N25" s="276">
        <f t="shared" si="12"/>
        <v>-4806898.959999999</v>
      </c>
      <c r="O25" s="873">
        <f>O24+O21</f>
        <v>-30504391.729999997</v>
      </c>
      <c r="P25" s="883" t="s">
        <v>328</v>
      </c>
      <c r="Q25" s="350">
        <f t="shared" si="3"/>
        <v>19</v>
      </c>
    </row>
    <row r="26" spans="1:17" ht="15.5" x14ac:dyDescent="0.35">
      <c r="A26" s="120">
        <f t="shared" si="2"/>
        <v>20</v>
      </c>
      <c r="B26" s="149"/>
      <c r="C26" s="266"/>
      <c r="D26" s="19"/>
      <c r="E26" s="240"/>
      <c r="F26" s="706"/>
      <c r="G26" s="266"/>
      <c r="H26" s="19"/>
      <c r="I26" s="240"/>
      <c r="J26" s="278"/>
      <c r="K26" s="281"/>
      <c r="L26" s="240"/>
      <c r="M26" s="19"/>
      <c r="N26" s="278"/>
      <c r="O26" s="28"/>
      <c r="P26" s="883"/>
      <c r="Q26" s="350">
        <f t="shared" si="3"/>
        <v>20</v>
      </c>
    </row>
    <row r="27" spans="1:17" ht="15.5" x14ac:dyDescent="0.35">
      <c r="A27" s="120">
        <f t="shared" si="2"/>
        <v>21</v>
      </c>
      <c r="B27" s="149" t="s">
        <v>329</v>
      </c>
      <c r="C27" s="279">
        <f t="shared" ref="C27:O27" si="13">-C14+C25</f>
        <v>480803.51301673404</v>
      </c>
      <c r="D27" s="14">
        <f t="shared" si="13"/>
        <v>348216.768537211</v>
      </c>
      <c r="E27" s="255">
        <f t="shared" si="13"/>
        <v>610290.13211540459</v>
      </c>
      <c r="F27" s="710">
        <f t="shared" si="13"/>
        <v>931425.4920661439</v>
      </c>
      <c r="G27" s="279">
        <f t="shared" si="13"/>
        <v>640208.03102783416</v>
      </c>
      <c r="H27" s="14">
        <f t="shared" si="13"/>
        <v>1096125.6660120962</v>
      </c>
      <c r="I27" s="255">
        <f t="shared" si="13"/>
        <v>-646386.24390167859</v>
      </c>
      <c r="J27" s="291">
        <f t="shared" si="13"/>
        <v>-1479231.060872925</v>
      </c>
      <c r="K27" s="694">
        <f t="shared" si="13"/>
        <v>-2689940.1553620724</v>
      </c>
      <c r="L27" s="255">
        <f t="shared" si="13"/>
        <v>-2101493.9865924492</v>
      </c>
      <c r="M27" s="14">
        <f t="shared" si="13"/>
        <v>-2933488.0174290561</v>
      </c>
      <c r="N27" s="291">
        <f t="shared" si="13"/>
        <v>-2368121.5031743716</v>
      </c>
      <c r="O27" s="874">
        <f t="shared" si="13"/>
        <v>-8111591.3645571247</v>
      </c>
      <c r="P27" s="883" t="s">
        <v>521</v>
      </c>
      <c r="Q27" s="350">
        <f t="shared" si="3"/>
        <v>21</v>
      </c>
    </row>
    <row r="28" spans="1:17" ht="15.5" x14ac:dyDescent="0.35">
      <c r="A28" s="120">
        <f t="shared" si="2"/>
        <v>22</v>
      </c>
      <c r="B28" s="125"/>
      <c r="C28" s="280"/>
      <c r="D28" s="95"/>
      <c r="E28" s="256"/>
      <c r="F28" s="711"/>
      <c r="G28" s="280"/>
      <c r="H28" s="95"/>
      <c r="I28" s="256"/>
      <c r="J28" s="292"/>
      <c r="K28" s="280"/>
      <c r="L28" s="256"/>
      <c r="M28" s="95"/>
      <c r="N28" s="292"/>
      <c r="O28" s="875"/>
      <c r="P28" s="886"/>
      <c r="Q28" s="350">
        <f t="shared" si="3"/>
        <v>22</v>
      </c>
    </row>
    <row r="29" spans="1:17" ht="15.5" x14ac:dyDescent="0.35">
      <c r="A29" s="120">
        <f t="shared" si="2"/>
        <v>23</v>
      </c>
      <c r="B29" s="125" t="s">
        <v>330</v>
      </c>
      <c r="C29" s="280"/>
      <c r="D29" s="95"/>
      <c r="E29" s="256"/>
      <c r="F29" s="711"/>
      <c r="G29" s="280"/>
      <c r="H29" s="95"/>
      <c r="I29" s="256"/>
      <c r="J29" s="292"/>
      <c r="K29" s="280"/>
      <c r="L29" s="256"/>
      <c r="M29" s="95"/>
      <c r="N29" s="292"/>
      <c r="O29" s="875"/>
      <c r="P29" s="886"/>
      <c r="Q29" s="350">
        <f t="shared" si="3"/>
        <v>23</v>
      </c>
    </row>
    <row r="30" spans="1:17" ht="15.5" x14ac:dyDescent="0.35">
      <c r="A30" s="120">
        <f t="shared" si="2"/>
        <v>24</v>
      </c>
      <c r="B30" s="125" t="s">
        <v>331</v>
      </c>
      <c r="C30" s="281">
        <f>C7</f>
        <v>-3702231.49</v>
      </c>
      <c r="D30" s="141">
        <f>D7</f>
        <v>-3231122.1002370426</v>
      </c>
      <c r="E30" s="257">
        <f>E7</f>
        <v>-2891159.2687329464</v>
      </c>
      <c r="F30" s="329">
        <f>F7</f>
        <v>-2288109.9763850323</v>
      </c>
      <c r="G30" s="281">
        <f t="shared" ref="G30:N30" si="14">G7</f>
        <v>-1361788.1965638737</v>
      </c>
      <c r="H30" s="141">
        <f t="shared" si="14"/>
        <v>-724184.37598866445</v>
      </c>
      <c r="I30" s="257">
        <f t="shared" si="14"/>
        <v>371448.14970308042</v>
      </c>
      <c r="J30" s="267">
        <f t="shared" si="14"/>
        <v>-274807.80562366714</v>
      </c>
      <c r="K30" s="281">
        <f t="shared" si="14"/>
        <v>-1756879.2518375604</v>
      </c>
      <c r="L30" s="257">
        <f t="shared" si="14"/>
        <v>-4455195.4003893323</v>
      </c>
      <c r="M30" s="141">
        <f t="shared" si="14"/>
        <v>-6573756.8084022067</v>
      </c>
      <c r="N30" s="267">
        <f t="shared" si="14"/>
        <v>-9532171.3783643246</v>
      </c>
      <c r="O30" s="875"/>
      <c r="P30" s="886" t="s">
        <v>516</v>
      </c>
      <c r="Q30" s="350">
        <f t="shared" si="3"/>
        <v>24</v>
      </c>
    </row>
    <row r="31" spans="1:17" ht="15.5" x14ac:dyDescent="0.35">
      <c r="A31" s="120">
        <f t="shared" si="2"/>
        <v>25</v>
      </c>
      <c r="B31" s="125" t="s">
        <v>332</v>
      </c>
      <c r="C31" s="282">
        <f>C27/2</f>
        <v>240401.75650836702</v>
      </c>
      <c r="D31" s="96">
        <f>D27/2</f>
        <v>174108.3842686055</v>
      </c>
      <c r="E31" s="258">
        <f>E27/2</f>
        <v>305145.06605770229</v>
      </c>
      <c r="F31" s="712">
        <f t="shared" ref="F31:N31" si="15">F27/2</f>
        <v>465712.74603307195</v>
      </c>
      <c r="G31" s="282">
        <f t="shared" si="15"/>
        <v>320104.01551391708</v>
      </c>
      <c r="H31" s="96">
        <f t="shared" si="15"/>
        <v>548062.83300604811</v>
      </c>
      <c r="I31" s="258">
        <f t="shared" si="15"/>
        <v>-323193.1219508393</v>
      </c>
      <c r="J31" s="283">
        <f t="shared" si="15"/>
        <v>-739615.53043646249</v>
      </c>
      <c r="K31" s="282">
        <f t="shared" si="15"/>
        <v>-1344970.0776810362</v>
      </c>
      <c r="L31" s="258">
        <f t="shared" si="15"/>
        <v>-1050746.9932962246</v>
      </c>
      <c r="M31" s="96">
        <f t="shared" si="15"/>
        <v>-1466744.0087145281</v>
      </c>
      <c r="N31" s="283">
        <f t="shared" si="15"/>
        <v>-1184060.7515871858</v>
      </c>
      <c r="O31" s="875"/>
      <c r="P31" s="886" t="s">
        <v>333</v>
      </c>
      <c r="Q31" s="350">
        <f t="shared" si="3"/>
        <v>25</v>
      </c>
    </row>
    <row r="32" spans="1:17" ht="15.5" x14ac:dyDescent="0.35">
      <c r="A32" s="120">
        <f t="shared" si="2"/>
        <v>26</v>
      </c>
      <c r="B32" s="125" t="s">
        <v>334</v>
      </c>
      <c r="C32" s="280">
        <f t="shared" ref="C32:L32" si="16">C30+C31</f>
        <v>-3461829.7334916331</v>
      </c>
      <c r="D32" s="95">
        <f t="shared" si="16"/>
        <v>-3057013.715968437</v>
      </c>
      <c r="E32" s="256">
        <f t="shared" si="16"/>
        <v>-2586014.2026752438</v>
      </c>
      <c r="F32" s="711">
        <f t="shared" si="16"/>
        <v>-1822397.2303519603</v>
      </c>
      <c r="G32" s="280">
        <f t="shared" si="16"/>
        <v>-1041684.1810499566</v>
      </c>
      <c r="H32" s="95">
        <f t="shared" si="16"/>
        <v>-176121.54298261635</v>
      </c>
      <c r="I32" s="256">
        <f>I30+I31</f>
        <v>48255.02775224112</v>
      </c>
      <c r="J32" s="292">
        <f t="shared" si="16"/>
        <v>-1014423.3360601296</v>
      </c>
      <c r="K32" s="280">
        <f t="shared" si="16"/>
        <v>-3101849.3295185966</v>
      </c>
      <c r="L32" s="256">
        <f t="shared" si="16"/>
        <v>-5505942.3936855569</v>
      </c>
      <c r="M32" s="95">
        <f>M30+M31</f>
        <v>-8040500.8171167346</v>
      </c>
      <c r="N32" s="292">
        <f>N30+N31</f>
        <v>-10716232.129951511</v>
      </c>
      <c r="O32" s="875"/>
      <c r="P32" s="886" t="s">
        <v>335</v>
      </c>
      <c r="Q32" s="350">
        <f t="shared" si="3"/>
        <v>26</v>
      </c>
    </row>
    <row r="33" spans="1:17" ht="15.5" x14ac:dyDescent="0.35">
      <c r="A33" s="120">
        <f t="shared" si="2"/>
        <v>27</v>
      </c>
      <c r="B33" s="125" t="s">
        <v>336</v>
      </c>
      <c r="C33" s="284">
        <f>C62</f>
        <v>2.8E-3</v>
      </c>
      <c r="D33" s="152">
        <f t="shared" ref="D33:N33" si="17">D62</f>
        <v>2.7000000000000001E-3</v>
      </c>
      <c r="E33" s="259">
        <f t="shared" si="17"/>
        <v>2.8E-3</v>
      </c>
      <c r="F33" s="713">
        <f t="shared" si="17"/>
        <v>2.8E-3</v>
      </c>
      <c r="G33" s="284">
        <f t="shared" si="17"/>
        <v>2.5000000000000001E-3</v>
      </c>
      <c r="H33" s="152">
        <f t="shared" si="17"/>
        <v>2.8E-3</v>
      </c>
      <c r="I33" s="259">
        <f t="shared" si="17"/>
        <v>2.7000000000000001E-3</v>
      </c>
      <c r="J33" s="285">
        <f t="shared" si="17"/>
        <v>2.8E-3</v>
      </c>
      <c r="K33" s="284">
        <f t="shared" si="17"/>
        <v>2.7000000000000001E-3</v>
      </c>
      <c r="L33" s="259">
        <f t="shared" si="17"/>
        <v>3.0999999999999999E-3</v>
      </c>
      <c r="M33" s="152">
        <f t="shared" si="17"/>
        <v>3.0999999999999999E-3</v>
      </c>
      <c r="N33" s="285">
        <f t="shared" si="17"/>
        <v>3.0000000000000001E-3</v>
      </c>
      <c r="O33" s="876"/>
      <c r="P33" s="886" t="s">
        <v>337</v>
      </c>
      <c r="Q33" s="350">
        <f t="shared" si="3"/>
        <v>27</v>
      </c>
    </row>
    <row r="34" spans="1:17" ht="15.5" x14ac:dyDescent="0.35">
      <c r="A34" s="120">
        <f t="shared" si="2"/>
        <v>28</v>
      </c>
      <c r="B34" s="125" t="s">
        <v>338</v>
      </c>
      <c r="C34" s="275">
        <f>C32*C33</f>
        <v>-9693.1232537765718</v>
      </c>
      <c r="D34" s="97">
        <f t="shared" ref="D34:N34" si="18">D32*D33</f>
        <v>-8253.9370331147802</v>
      </c>
      <c r="E34" s="254">
        <f t="shared" si="18"/>
        <v>-7240.8397674906828</v>
      </c>
      <c r="F34" s="714">
        <f t="shared" si="18"/>
        <v>-5102.7122449854887</v>
      </c>
      <c r="G34" s="275">
        <f t="shared" si="18"/>
        <v>-2604.2104526248913</v>
      </c>
      <c r="H34" s="97">
        <f t="shared" si="18"/>
        <v>-493.14032035132578</v>
      </c>
      <c r="I34" s="523">
        <f t="shared" si="18"/>
        <v>130.28857493105102</v>
      </c>
      <c r="J34" s="524">
        <f t="shared" si="18"/>
        <v>-2840.3853409683629</v>
      </c>
      <c r="K34" s="695">
        <f t="shared" si="18"/>
        <v>-8374.9931897002116</v>
      </c>
      <c r="L34" s="523">
        <f t="shared" si="18"/>
        <v>-17068.421420425228</v>
      </c>
      <c r="M34" s="97">
        <f t="shared" si="18"/>
        <v>-24925.552533061877</v>
      </c>
      <c r="N34" s="276">
        <f t="shared" si="18"/>
        <v>-32148.696389854533</v>
      </c>
      <c r="O34" s="873">
        <f>SUM(C34:N34)</f>
        <v>-118615.72337142291</v>
      </c>
      <c r="P34" s="886" t="s">
        <v>339</v>
      </c>
      <c r="Q34" s="350">
        <f t="shared" si="3"/>
        <v>28</v>
      </c>
    </row>
    <row r="35" spans="1:17" ht="15.5" x14ac:dyDescent="0.35">
      <c r="A35" s="120">
        <f t="shared" si="2"/>
        <v>29</v>
      </c>
      <c r="B35" s="125"/>
      <c r="C35" s="266"/>
      <c r="D35" s="19"/>
      <c r="E35" s="240"/>
      <c r="F35" s="329"/>
      <c r="G35" s="266"/>
      <c r="H35" s="19"/>
      <c r="I35" s="257"/>
      <c r="J35" s="267"/>
      <c r="K35" s="281"/>
      <c r="L35" s="257"/>
      <c r="M35" s="19"/>
      <c r="N35" s="278"/>
      <c r="O35" s="28"/>
      <c r="P35" s="886"/>
      <c r="Q35" s="350">
        <f t="shared" si="3"/>
        <v>29</v>
      </c>
    </row>
    <row r="36" spans="1:17" ht="15.5" x14ac:dyDescent="0.35">
      <c r="A36" s="120">
        <f t="shared" si="2"/>
        <v>30</v>
      </c>
      <c r="B36" s="149" t="s">
        <v>340</v>
      </c>
      <c r="C36" s="279">
        <v>-1</v>
      </c>
      <c r="D36" s="14"/>
      <c r="E36" s="253"/>
      <c r="F36" s="710">
        <v>-1</v>
      </c>
      <c r="G36" s="279"/>
      <c r="H36" s="191"/>
      <c r="I36" s="260"/>
      <c r="J36" s="326"/>
      <c r="K36" s="696">
        <v>-1</v>
      </c>
      <c r="L36" s="260">
        <v>1</v>
      </c>
      <c r="M36" s="103">
        <v>-1</v>
      </c>
      <c r="N36" s="326"/>
      <c r="O36" s="332">
        <f>SUM(C36:N36)</f>
        <v>-3</v>
      </c>
      <c r="P36" s="883"/>
      <c r="Q36" s="350">
        <f t="shared" si="3"/>
        <v>30</v>
      </c>
    </row>
    <row r="37" spans="1:17" ht="15.5" x14ac:dyDescent="0.35">
      <c r="A37" s="120">
        <f t="shared" si="2"/>
        <v>31</v>
      </c>
      <c r="B37" s="125"/>
      <c r="C37" s="266"/>
      <c r="D37" s="19"/>
      <c r="E37" s="240"/>
      <c r="F37" s="706"/>
      <c r="G37" s="266"/>
      <c r="H37" s="19"/>
      <c r="I37" s="240"/>
      <c r="J37" s="278"/>
      <c r="K37" s="281"/>
      <c r="L37" s="240"/>
      <c r="M37" s="19"/>
      <c r="N37" s="278"/>
      <c r="O37" s="28"/>
      <c r="P37" s="886"/>
      <c r="Q37" s="350">
        <f t="shared" si="3"/>
        <v>31</v>
      </c>
    </row>
    <row r="38" spans="1:17" ht="16" thickBot="1" x14ac:dyDescent="0.4">
      <c r="A38" s="120">
        <f t="shared" si="2"/>
        <v>32</v>
      </c>
      <c r="B38" s="354" t="s">
        <v>341</v>
      </c>
      <c r="C38" s="515">
        <f>C7+C27+C34+C36</f>
        <v>-3231122.1002370426</v>
      </c>
      <c r="D38" s="73">
        <f>D7+D27+D34+D36</f>
        <v>-2891159.2687329464</v>
      </c>
      <c r="E38" s="719">
        <f>E7+E27+E34+E36</f>
        <v>-2288109.9763850323</v>
      </c>
      <c r="F38" s="715">
        <f t="shared" ref="F38:I38" si="19">F7+F27+F34+F36</f>
        <v>-1361788.1965638737</v>
      </c>
      <c r="G38" s="515">
        <f>G7+G27+G34+G36</f>
        <v>-724184.37598866445</v>
      </c>
      <c r="H38" s="192">
        <f t="shared" si="19"/>
        <v>371448.14970308042</v>
      </c>
      <c r="I38" s="529">
        <f t="shared" si="19"/>
        <v>-274807.80562366714</v>
      </c>
      <c r="J38" s="533">
        <f t="shared" ref="J38:M38" si="20">J7+J27+J34+J36</f>
        <v>-1756879.2518375604</v>
      </c>
      <c r="K38" s="515">
        <f t="shared" si="20"/>
        <v>-4455195.4003893323</v>
      </c>
      <c r="L38" s="529">
        <f t="shared" si="20"/>
        <v>-6573756.8084022067</v>
      </c>
      <c r="M38" s="73">
        <f t="shared" si="20"/>
        <v>-9532171.3783643246</v>
      </c>
      <c r="N38" s="540">
        <f>N7+N27+N34+N36</f>
        <v>-11932441.577928551</v>
      </c>
      <c r="O38" s="486">
        <f>O7+O27+O34+O36</f>
        <v>-11932441.577928549</v>
      </c>
      <c r="P38" s="883" t="s">
        <v>342</v>
      </c>
      <c r="Q38" s="350">
        <f>Q37+1</f>
        <v>32</v>
      </c>
    </row>
    <row r="39" spans="1:17" ht="17.5" thickTop="1" thickBot="1" x14ac:dyDescent="0.4">
      <c r="A39" s="120">
        <f>A38+1</f>
        <v>33</v>
      </c>
      <c r="B39" s="355"/>
      <c r="C39" s="293"/>
      <c r="D39" s="100"/>
      <c r="E39" s="261"/>
      <c r="F39" s="716"/>
      <c r="G39" s="293"/>
      <c r="H39" s="100"/>
      <c r="I39" s="261"/>
      <c r="J39" s="294"/>
      <c r="K39" s="697"/>
      <c r="L39" s="100"/>
      <c r="M39" s="100"/>
      <c r="N39" s="294"/>
      <c r="O39" s="869"/>
      <c r="P39" s="126"/>
      <c r="Q39" s="464">
        <f>Q38+1</f>
        <v>33</v>
      </c>
    </row>
    <row r="40" spans="1:17" ht="16.5" x14ac:dyDescent="0.35">
      <c r="A40" s="150">
        <f t="shared" si="2"/>
        <v>34</v>
      </c>
      <c r="B40" s="491"/>
      <c r="C40" s="295"/>
      <c r="D40" s="244"/>
      <c r="E40" s="343"/>
      <c r="F40" s="699"/>
      <c r="G40" s="347"/>
      <c r="H40" s="343"/>
      <c r="I40" s="341"/>
      <c r="J40" s="348"/>
      <c r="K40" s="698"/>
      <c r="L40" s="245"/>
      <c r="M40" s="246"/>
      <c r="N40" s="699"/>
      <c r="O40" s="877"/>
      <c r="P40" s="247"/>
      <c r="Q40" s="460">
        <f>Q39+1</f>
        <v>34</v>
      </c>
    </row>
    <row r="41" spans="1:17" ht="15.5" x14ac:dyDescent="0.35">
      <c r="A41" s="120">
        <f t="shared" si="2"/>
        <v>35</v>
      </c>
      <c r="B41" s="218" t="s">
        <v>343</v>
      </c>
      <c r="C41" s="286"/>
      <c r="D41" s="114"/>
      <c r="E41" s="91"/>
      <c r="F41" s="717"/>
      <c r="G41" s="333"/>
      <c r="H41" s="91"/>
      <c r="I41" s="940"/>
      <c r="J41" s="349"/>
      <c r="K41" s="219"/>
      <c r="L41" s="94"/>
      <c r="M41" s="91"/>
      <c r="N41" s="123"/>
      <c r="O41" s="22"/>
      <c r="P41" s="125"/>
      <c r="Q41" s="350">
        <f t="shared" ref="Q41:Q44" si="21">Q40+1</f>
        <v>35</v>
      </c>
    </row>
    <row r="42" spans="1:17" ht="15.5" x14ac:dyDescent="0.35">
      <c r="A42" s="120">
        <f t="shared" si="2"/>
        <v>36</v>
      </c>
      <c r="B42" s="125" t="s">
        <v>344</v>
      </c>
      <c r="C42" s="806">
        <f>F48</f>
        <v>1.0274999999999999E-2</v>
      </c>
      <c r="D42" s="422">
        <f>$C$42</f>
        <v>1.0274999999999999E-2</v>
      </c>
      <c r="E42" s="423">
        <f t="shared" ref="E42" si="22">$C$42</f>
        <v>1.0274999999999999E-2</v>
      </c>
      <c r="F42" s="701">
        <f>I48</f>
        <v>1.0274999999999999E-2</v>
      </c>
      <c r="G42" s="296">
        <f>$F$42</f>
        <v>1.0274999999999999E-2</v>
      </c>
      <c r="H42" s="342">
        <f t="shared" ref="H42:N42" si="23">$F$42</f>
        <v>1.0274999999999999E-2</v>
      </c>
      <c r="I42" s="346">
        <f t="shared" si="23"/>
        <v>1.0274999999999999E-2</v>
      </c>
      <c r="J42" s="297">
        <f t="shared" si="23"/>
        <v>1.0274999999999999E-2</v>
      </c>
      <c r="K42" s="700">
        <f t="shared" si="23"/>
        <v>1.0274999999999999E-2</v>
      </c>
      <c r="L42" s="115">
        <f t="shared" si="23"/>
        <v>1.0274999999999999E-2</v>
      </c>
      <c r="M42" s="342">
        <f t="shared" si="23"/>
        <v>1.0274999999999999E-2</v>
      </c>
      <c r="N42" s="701">
        <f t="shared" si="23"/>
        <v>1.0274999999999999E-2</v>
      </c>
      <c r="O42" s="22"/>
      <c r="P42" s="120" t="s">
        <v>344</v>
      </c>
      <c r="Q42" s="350">
        <f t="shared" si="21"/>
        <v>36</v>
      </c>
    </row>
    <row r="43" spans="1:17" ht="15.5" x14ac:dyDescent="0.35">
      <c r="A43" s="120">
        <f t="shared" si="2"/>
        <v>37</v>
      </c>
      <c r="B43" s="125" t="s">
        <v>345</v>
      </c>
      <c r="C43" s="807">
        <f>F49</f>
        <v>1.73E-3</v>
      </c>
      <c r="D43" s="424">
        <f>$C$43</f>
        <v>1.73E-3</v>
      </c>
      <c r="E43" s="425">
        <f t="shared" ref="E43" si="24">$C$43</f>
        <v>1.73E-3</v>
      </c>
      <c r="F43" s="703">
        <f>I49</f>
        <v>1.6100000000000001E-3</v>
      </c>
      <c r="G43" s="427">
        <f>I49</f>
        <v>1.6100000000000001E-3</v>
      </c>
      <c r="H43" s="428">
        <f t="shared" ref="H43" si="25">$G$43</f>
        <v>1.6100000000000001E-3</v>
      </c>
      <c r="I43" s="426">
        <f t="shared" ref="I43:N43" si="26">$F$43</f>
        <v>1.6100000000000001E-3</v>
      </c>
      <c r="J43" s="429">
        <f t="shared" si="26"/>
        <v>1.6100000000000001E-3</v>
      </c>
      <c r="K43" s="702">
        <f t="shared" si="26"/>
        <v>1.6100000000000001E-3</v>
      </c>
      <c r="L43" s="430">
        <f t="shared" si="26"/>
        <v>1.6100000000000001E-3</v>
      </c>
      <c r="M43" s="428">
        <f t="shared" si="26"/>
        <v>1.6100000000000001E-3</v>
      </c>
      <c r="N43" s="703">
        <f t="shared" si="26"/>
        <v>1.6100000000000001E-3</v>
      </c>
      <c r="O43" s="22"/>
      <c r="P43" s="120" t="s">
        <v>345</v>
      </c>
      <c r="Q43" s="350">
        <f t="shared" si="21"/>
        <v>37</v>
      </c>
    </row>
    <row r="44" spans="1:17" ht="16" thickBot="1" x14ac:dyDescent="0.4">
      <c r="A44" s="121">
        <f t="shared" si="2"/>
        <v>38</v>
      </c>
      <c r="B44" s="126" t="s">
        <v>346</v>
      </c>
      <c r="C44" s="609">
        <f t="shared" ref="C44:N44" si="27">C42+C43</f>
        <v>1.2005E-2</v>
      </c>
      <c r="D44" s="610">
        <f t="shared" si="27"/>
        <v>1.2005E-2</v>
      </c>
      <c r="E44" s="611">
        <f t="shared" si="27"/>
        <v>1.2005E-2</v>
      </c>
      <c r="F44" s="718">
        <f t="shared" si="27"/>
        <v>1.1885E-2</v>
      </c>
      <c r="G44" s="613">
        <f t="shared" si="27"/>
        <v>1.1885E-2</v>
      </c>
      <c r="H44" s="610">
        <f t="shared" si="27"/>
        <v>1.1885E-2</v>
      </c>
      <c r="I44" s="612">
        <f t="shared" si="27"/>
        <v>1.1885E-2</v>
      </c>
      <c r="J44" s="614">
        <f t="shared" si="27"/>
        <v>1.1885E-2</v>
      </c>
      <c r="K44" s="609">
        <f t="shared" si="27"/>
        <v>1.1885E-2</v>
      </c>
      <c r="L44" s="610">
        <f t="shared" si="27"/>
        <v>1.1885E-2</v>
      </c>
      <c r="M44" s="610">
        <f t="shared" si="27"/>
        <v>1.1885E-2</v>
      </c>
      <c r="N44" s="614">
        <f t="shared" si="27"/>
        <v>1.1885E-2</v>
      </c>
      <c r="O44" s="80"/>
      <c r="P44" s="121" t="s">
        <v>347</v>
      </c>
      <c r="Q44" s="464">
        <f t="shared" si="21"/>
        <v>38</v>
      </c>
    </row>
    <row r="45" spans="1:17" ht="15.5" x14ac:dyDescent="0.35">
      <c r="A45" s="22"/>
      <c r="B45" s="344"/>
      <c r="C45" s="608"/>
      <c r="D45" s="19"/>
      <c r="E45" s="28"/>
      <c r="F45" s="706"/>
      <c r="G45" s="863"/>
      <c r="H45" s="28"/>
      <c r="I45" s="28"/>
      <c r="J45" s="706"/>
      <c r="K45" s="863"/>
      <c r="L45" s="28"/>
      <c r="M45" s="28"/>
      <c r="N45" s="706"/>
      <c r="O45" s="22"/>
      <c r="P45" s="120"/>
      <c r="Q45" s="33"/>
    </row>
    <row r="46" spans="1:17" ht="16" thickBot="1" x14ac:dyDescent="0.4">
      <c r="A46" s="80"/>
      <c r="B46" s="733"/>
      <c r="C46" s="608"/>
      <c r="D46" s="19"/>
      <c r="E46" s="28"/>
      <c r="F46" s="706"/>
      <c r="G46" s="863"/>
      <c r="H46" s="28"/>
      <c r="I46" s="28"/>
      <c r="J46" s="706"/>
      <c r="K46" s="863"/>
      <c r="L46" s="28"/>
      <c r="M46" s="28"/>
      <c r="N46" s="706"/>
      <c r="O46" s="22"/>
      <c r="P46" s="120"/>
      <c r="Q46" s="33"/>
    </row>
    <row r="47" spans="1:17" ht="19" x14ac:dyDescent="0.35">
      <c r="A47" s="168"/>
      <c r="B47" s="732" t="s">
        <v>504</v>
      </c>
      <c r="C47" s="171"/>
      <c r="D47" s="114"/>
      <c r="E47" s="391" t="s">
        <v>348</v>
      </c>
      <c r="F47" s="123"/>
      <c r="G47" s="219"/>
      <c r="H47" s="941" t="s">
        <v>517</v>
      </c>
      <c r="I47" s="940"/>
      <c r="J47" s="123"/>
      <c r="K47" s="219"/>
      <c r="L47" s="22"/>
      <c r="M47" s="22"/>
      <c r="N47" s="123"/>
      <c r="O47" s="22"/>
      <c r="P47" s="125"/>
      <c r="Q47" s="91"/>
    </row>
    <row r="48" spans="1:17" ht="15.5" x14ac:dyDescent="0.35">
      <c r="A48" s="66"/>
      <c r="B48" s="146" t="s">
        <v>505</v>
      </c>
      <c r="C48" s="808">
        <v>-1.23E-3</v>
      </c>
      <c r="D48" s="114"/>
      <c r="E48" s="22" t="s">
        <v>349</v>
      </c>
      <c r="F48" s="701">
        <v>1.0274999999999999E-2</v>
      </c>
      <c r="G48" s="219"/>
      <c r="H48" s="940" t="s">
        <v>349</v>
      </c>
      <c r="I48" s="346">
        <v>1.0274999999999999E-2</v>
      </c>
      <c r="J48" s="123"/>
      <c r="K48" s="219"/>
      <c r="L48" s="22"/>
      <c r="M48" s="22"/>
      <c r="N48" s="123"/>
      <c r="O48" s="22"/>
      <c r="P48" s="125"/>
      <c r="Q48" s="91"/>
    </row>
    <row r="49" spans="1:17" ht="15.5" x14ac:dyDescent="0.35">
      <c r="A49" s="66"/>
      <c r="B49" s="146" t="s">
        <v>506</v>
      </c>
      <c r="C49" s="808">
        <v>-1.2999999999999999E-3</v>
      </c>
      <c r="D49" s="114"/>
      <c r="E49" s="22" t="s">
        <v>350</v>
      </c>
      <c r="F49" s="701">
        <v>1.73E-3</v>
      </c>
      <c r="G49" s="942" t="s">
        <v>520</v>
      </c>
      <c r="H49" s="940" t="s">
        <v>350</v>
      </c>
      <c r="I49" s="346">
        <v>1.6100000000000001E-3</v>
      </c>
      <c r="J49" s="942" t="s">
        <v>520</v>
      </c>
      <c r="K49" s="219"/>
      <c r="L49" s="22"/>
      <c r="M49" s="22"/>
      <c r="N49" s="123"/>
      <c r="O49" s="22"/>
      <c r="P49" s="125"/>
      <c r="Q49" s="91"/>
    </row>
    <row r="50" spans="1:17" ht="16" thickBot="1" x14ac:dyDescent="0.4">
      <c r="A50" s="66"/>
      <c r="B50" s="146" t="s">
        <v>351</v>
      </c>
      <c r="C50" s="172">
        <f>C48+C49</f>
        <v>-2.5300000000000001E-3</v>
      </c>
      <c r="D50" s="114"/>
      <c r="E50" s="22" t="s">
        <v>352</v>
      </c>
      <c r="F50" s="864">
        <f>SUM(F48:F49)</f>
        <v>1.2005E-2</v>
      </c>
      <c r="G50" s="219"/>
      <c r="H50" s="940" t="s">
        <v>352</v>
      </c>
      <c r="I50" s="891">
        <f>SUM(I48:I49)</f>
        <v>1.1885E-2</v>
      </c>
      <c r="J50" s="123"/>
      <c r="K50" s="219"/>
      <c r="L50" s="22"/>
      <c r="M50" s="22"/>
      <c r="N50" s="123"/>
      <c r="O50" s="22"/>
      <c r="P50" s="125"/>
      <c r="Q50" s="91"/>
    </row>
    <row r="51" spans="1:17" ht="16.5" thickTop="1" thickBot="1" x14ac:dyDescent="0.4">
      <c r="A51" s="66"/>
      <c r="B51" s="146" t="s">
        <v>504</v>
      </c>
      <c r="C51" s="921">
        <f>C50/2</f>
        <v>-1.2650000000000001E-3</v>
      </c>
      <c r="D51" s="114"/>
      <c r="E51" s="22"/>
      <c r="F51" s="123"/>
      <c r="G51" s="219"/>
      <c r="H51" s="940"/>
      <c r="I51" s="940"/>
      <c r="J51" s="123"/>
      <c r="K51" s="219"/>
      <c r="L51" s="22"/>
      <c r="M51" s="22"/>
      <c r="N51" s="123"/>
      <c r="O51" s="22"/>
      <c r="P51" s="125"/>
      <c r="Q51" s="91"/>
    </row>
    <row r="52" spans="1:17" ht="16" thickTop="1" x14ac:dyDescent="0.35">
      <c r="A52" s="27"/>
      <c r="B52" s="169"/>
      <c r="C52" s="173"/>
      <c r="D52" s="943" t="s">
        <v>520</v>
      </c>
      <c r="E52" s="22" t="s">
        <v>519</v>
      </c>
      <c r="F52" s="123"/>
      <c r="G52" s="219"/>
      <c r="H52" s="940"/>
      <c r="I52" s="940"/>
      <c r="J52" s="123"/>
      <c r="K52" s="219"/>
      <c r="L52" s="22"/>
      <c r="M52" s="22"/>
      <c r="N52" s="123"/>
      <c r="O52" s="22"/>
      <c r="P52" s="125"/>
      <c r="Q52" s="91"/>
    </row>
    <row r="53" spans="1:17" ht="19.5" thickBot="1" x14ac:dyDescent="0.4">
      <c r="A53" s="167"/>
      <c r="B53" s="147"/>
      <c r="C53" s="174"/>
      <c r="D53" s="888"/>
      <c r="E53" s="80" t="s">
        <v>518</v>
      </c>
      <c r="F53" s="124"/>
      <c r="G53" s="212"/>
      <c r="H53" s="80"/>
      <c r="I53" s="80"/>
      <c r="J53" s="124"/>
      <c r="K53" s="212"/>
      <c r="L53" s="80"/>
      <c r="M53" s="80"/>
      <c r="N53" s="124"/>
      <c r="O53" s="80"/>
      <c r="P53" s="126"/>
      <c r="Q53" s="556"/>
    </row>
    <row r="54" spans="1:17" ht="15.5" x14ac:dyDescent="0.35">
      <c r="A54" s="66"/>
      <c r="B54" s="146"/>
      <c r="C54" s="175"/>
      <c r="D54" s="17"/>
      <c r="E54" s="250"/>
      <c r="F54" s="122"/>
      <c r="G54" s="325"/>
      <c r="H54" s="166"/>
      <c r="I54" s="250"/>
      <c r="J54" s="262"/>
      <c r="K54" s="325"/>
      <c r="L54" s="250"/>
      <c r="M54" s="166"/>
      <c r="N54" s="262"/>
      <c r="O54" s="183"/>
      <c r="P54" s="125"/>
      <c r="Q54" s="122"/>
    </row>
    <row r="55" spans="1:17" ht="15.5" x14ac:dyDescent="0.35">
      <c r="A55" s="32"/>
      <c r="B55" s="170"/>
      <c r="C55" s="135" t="s">
        <v>292</v>
      </c>
      <c r="D55" s="10" t="s">
        <v>293</v>
      </c>
      <c r="E55" s="33" t="s">
        <v>294</v>
      </c>
      <c r="F55" s="350" t="s">
        <v>295</v>
      </c>
      <c r="G55" s="263" t="s">
        <v>296</v>
      </c>
      <c r="H55" s="10" t="s">
        <v>297</v>
      </c>
      <c r="I55" s="33" t="s">
        <v>298</v>
      </c>
      <c r="J55" s="264" t="s">
        <v>58</v>
      </c>
      <c r="K55" s="263" t="s">
        <v>59</v>
      </c>
      <c r="L55" s="33" t="s">
        <v>60</v>
      </c>
      <c r="M55" s="10" t="s">
        <v>299</v>
      </c>
      <c r="N55" s="264" t="s">
        <v>300</v>
      </c>
      <c r="O55" s="37"/>
      <c r="P55" s="120"/>
      <c r="Q55" s="350" t="s">
        <v>8</v>
      </c>
    </row>
    <row r="56" spans="1:17" ht="19" x14ac:dyDescent="0.35">
      <c r="A56" s="168"/>
      <c r="B56" s="139" t="s">
        <v>353</v>
      </c>
      <c r="C56" s="136">
        <f>C5</f>
        <v>2021</v>
      </c>
      <c r="D56" s="13">
        <f t="shared" ref="D56:N56" si="28">D5</f>
        <v>2021</v>
      </c>
      <c r="E56" s="64">
        <f t="shared" si="28"/>
        <v>2021</v>
      </c>
      <c r="F56" s="862">
        <f t="shared" si="28"/>
        <v>2022</v>
      </c>
      <c r="G56" s="309">
        <f t="shared" si="28"/>
        <v>2022</v>
      </c>
      <c r="H56" s="13">
        <f t="shared" si="28"/>
        <v>2022</v>
      </c>
      <c r="I56" s="64">
        <f t="shared" si="28"/>
        <v>2022</v>
      </c>
      <c r="J56" s="265">
        <f t="shared" si="28"/>
        <v>2022</v>
      </c>
      <c r="K56" s="309">
        <f t="shared" si="28"/>
        <v>2022</v>
      </c>
      <c r="L56" s="64">
        <f t="shared" si="28"/>
        <v>2022</v>
      </c>
      <c r="M56" s="13">
        <f t="shared" si="28"/>
        <v>2022</v>
      </c>
      <c r="N56" s="265">
        <f t="shared" si="28"/>
        <v>2022</v>
      </c>
      <c r="O56" s="176" t="s">
        <v>18</v>
      </c>
      <c r="P56" s="251" t="s">
        <v>16</v>
      </c>
      <c r="Q56" s="862" t="s">
        <v>11</v>
      </c>
    </row>
    <row r="57" spans="1:17" ht="15.5" x14ac:dyDescent="0.35">
      <c r="A57" s="66"/>
      <c r="B57" s="146"/>
      <c r="C57" s="137"/>
      <c r="D57" s="7"/>
      <c r="E57" s="60"/>
      <c r="F57" s="865"/>
      <c r="G57" s="352"/>
      <c r="H57" s="7"/>
      <c r="I57" s="60"/>
      <c r="J57" s="353"/>
      <c r="K57" s="352"/>
      <c r="L57" s="60"/>
      <c r="M57" s="7"/>
      <c r="N57" s="353"/>
      <c r="O57" s="87"/>
      <c r="P57" s="327"/>
      <c r="Q57" s="865"/>
    </row>
    <row r="58" spans="1:17" ht="15.5" x14ac:dyDescent="0.35">
      <c r="A58" s="66"/>
      <c r="B58" s="146" t="s">
        <v>354</v>
      </c>
      <c r="C58" s="534">
        <v>3.2500000000000001E-2</v>
      </c>
      <c r="D58" s="25">
        <f>C58</f>
        <v>3.2500000000000001E-2</v>
      </c>
      <c r="E58" s="522">
        <f>C58</f>
        <v>3.2500000000000001E-2</v>
      </c>
      <c r="F58" s="866">
        <v>3.2500000000000001E-2</v>
      </c>
      <c r="G58" s="436">
        <f>F58</f>
        <v>3.2500000000000001E-2</v>
      </c>
      <c r="H58" s="25">
        <f>F58</f>
        <v>3.2500000000000001E-2</v>
      </c>
      <c r="I58" s="522">
        <v>3.2500000000000001E-2</v>
      </c>
      <c r="J58" s="433">
        <f>I58</f>
        <v>3.2500000000000001E-2</v>
      </c>
      <c r="K58" s="434">
        <f>I58</f>
        <v>3.2500000000000001E-2</v>
      </c>
      <c r="L58" s="809">
        <v>3.5999999999999997E-2</v>
      </c>
      <c r="M58" s="437">
        <f>L58</f>
        <v>3.5999999999999997E-2</v>
      </c>
      <c r="N58" s="438">
        <f>L58</f>
        <v>3.5999999999999997E-2</v>
      </c>
      <c r="O58" s="22"/>
      <c r="P58" s="125"/>
      <c r="Q58" s="123"/>
    </row>
    <row r="59" spans="1:17" ht="15.5" x14ac:dyDescent="0.35">
      <c r="A59" s="66"/>
      <c r="B59" s="146" t="s">
        <v>355</v>
      </c>
      <c r="C59" s="810">
        <v>366</v>
      </c>
      <c r="D59" s="17">
        <f>C59</f>
        <v>366</v>
      </c>
      <c r="E59" s="91">
        <f>C59</f>
        <v>366</v>
      </c>
      <c r="F59" s="123">
        <v>365</v>
      </c>
      <c r="G59" s="333">
        <f>F59</f>
        <v>365</v>
      </c>
      <c r="H59" s="17">
        <f>F59</f>
        <v>365</v>
      </c>
      <c r="I59" s="91">
        <f>F59</f>
        <v>365</v>
      </c>
      <c r="J59" s="349">
        <f>F59</f>
        <v>365</v>
      </c>
      <c r="K59" s="333">
        <f>F59</f>
        <v>365</v>
      </c>
      <c r="L59" s="91">
        <f>G59</f>
        <v>365</v>
      </c>
      <c r="M59" s="17">
        <f>F59</f>
        <v>365</v>
      </c>
      <c r="N59" s="349">
        <f>F59</f>
        <v>365</v>
      </c>
      <c r="O59" s="22">
        <f>N59</f>
        <v>365</v>
      </c>
      <c r="P59" s="125"/>
      <c r="Q59" s="123"/>
    </row>
    <row r="60" spans="1:17" ht="15.5" x14ac:dyDescent="0.35">
      <c r="A60" s="66"/>
      <c r="B60" s="146" t="s">
        <v>356</v>
      </c>
      <c r="C60" s="810">
        <v>31</v>
      </c>
      <c r="D60" s="17">
        <v>30</v>
      </c>
      <c r="E60" s="91">
        <v>31</v>
      </c>
      <c r="F60" s="123">
        <v>31</v>
      </c>
      <c r="G60" s="333">
        <v>28</v>
      </c>
      <c r="H60" s="17">
        <v>31</v>
      </c>
      <c r="I60" s="91">
        <v>30</v>
      </c>
      <c r="J60" s="349">
        <v>31</v>
      </c>
      <c r="K60" s="333">
        <v>30</v>
      </c>
      <c r="L60" s="91">
        <v>31</v>
      </c>
      <c r="M60" s="17">
        <v>31</v>
      </c>
      <c r="N60" s="349">
        <v>30</v>
      </c>
      <c r="O60" s="22">
        <f>SUM(C60:N60)</f>
        <v>365</v>
      </c>
      <c r="P60" s="125"/>
      <c r="Q60" s="123"/>
    </row>
    <row r="61" spans="1:17" ht="15.5" x14ac:dyDescent="0.35">
      <c r="A61" s="66"/>
      <c r="B61" s="146" t="s">
        <v>357</v>
      </c>
      <c r="C61" s="534">
        <f>(C58/C59)*C60</f>
        <v>2.7527322404371584E-3</v>
      </c>
      <c r="D61" s="25">
        <f t="shared" ref="D61:N61" si="29">(D58/D59)*D60</f>
        <v>2.663934426229508E-3</v>
      </c>
      <c r="E61" s="522">
        <f t="shared" si="29"/>
        <v>2.7527322404371584E-3</v>
      </c>
      <c r="F61" s="866">
        <f t="shared" si="29"/>
        <v>2.7602739726027398E-3</v>
      </c>
      <c r="G61" s="436">
        <f t="shared" si="29"/>
        <v>2.4931506849315069E-3</v>
      </c>
      <c r="H61" s="25">
        <f t="shared" si="29"/>
        <v>2.7602739726027398E-3</v>
      </c>
      <c r="I61" s="522">
        <f t="shared" si="29"/>
        <v>2.6712328767123285E-3</v>
      </c>
      <c r="J61" s="433">
        <f t="shared" si="29"/>
        <v>2.7602739726027398E-3</v>
      </c>
      <c r="K61" s="434">
        <f t="shared" si="29"/>
        <v>2.6712328767123285E-3</v>
      </c>
      <c r="L61" s="522">
        <f t="shared" si="29"/>
        <v>3.0575342465753424E-3</v>
      </c>
      <c r="M61" s="25">
        <f t="shared" si="29"/>
        <v>3.0575342465753424E-3</v>
      </c>
      <c r="N61" s="433">
        <f t="shared" si="29"/>
        <v>2.958904109589041E-3</v>
      </c>
      <c r="O61" s="878">
        <f>SUM(C61:N61)</f>
        <v>3.3359809866007936E-2</v>
      </c>
      <c r="P61" s="125"/>
      <c r="Q61" s="123"/>
    </row>
    <row r="62" spans="1:17" ht="15.5" x14ac:dyDescent="0.35">
      <c r="A62" s="811"/>
      <c r="B62" s="146" t="s">
        <v>358</v>
      </c>
      <c r="C62" s="812">
        <v>2.8E-3</v>
      </c>
      <c r="D62" s="744">
        <v>2.7000000000000001E-3</v>
      </c>
      <c r="E62" s="814">
        <v>2.8E-3</v>
      </c>
      <c r="F62" s="867">
        <v>2.8E-3</v>
      </c>
      <c r="G62" s="813">
        <v>2.5000000000000001E-3</v>
      </c>
      <c r="H62" s="744">
        <v>2.8E-3</v>
      </c>
      <c r="I62" s="814">
        <v>2.7000000000000001E-3</v>
      </c>
      <c r="J62" s="815">
        <v>2.8E-3</v>
      </c>
      <c r="K62" s="816">
        <v>2.7000000000000001E-3</v>
      </c>
      <c r="L62" s="814">
        <v>3.0999999999999999E-3</v>
      </c>
      <c r="M62" s="744">
        <v>3.0999999999999999E-3</v>
      </c>
      <c r="N62" s="815">
        <v>3.0000000000000001E-3</v>
      </c>
      <c r="O62" s="879">
        <f>SUM(C62:N62)</f>
        <v>3.3800000000000004E-2</v>
      </c>
      <c r="P62" s="817"/>
      <c r="Q62" s="881"/>
    </row>
    <row r="63" spans="1:17" ht="16" thickBot="1" x14ac:dyDescent="0.4">
      <c r="A63" s="818"/>
      <c r="B63" s="147" t="s">
        <v>76</v>
      </c>
      <c r="C63" s="535">
        <f>C61-C62</f>
        <v>-4.7267759562841585E-5</v>
      </c>
      <c r="D63" s="536">
        <f t="shared" ref="D63:N63" si="30">D61-D62</f>
        <v>-3.6065573770492111E-5</v>
      </c>
      <c r="E63" s="538">
        <f t="shared" si="30"/>
        <v>-4.7267759562841585E-5</v>
      </c>
      <c r="F63" s="868">
        <f t="shared" si="30"/>
        <v>-3.9726027397260152E-5</v>
      </c>
      <c r="G63" s="537">
        <f t="shared" si="30"/>
        <v>-6.8493150684931746E-6</v>
      </c>
      <c r="H63" s="536">
        <f t="shared" si="30"/>
        <v>-3.9726027397260152E-5</v>
      </c>
      <c r="I63" s="538">
        <f t="shared" si="30"/>
        <v>-2.8767123287671593E-5</v>
      </c>
      <c r="J63" s="539">
        <f t="shared" si="30"/>
        <v>-3.9726027397260152E-5</v>
      </c>
      <c r="K63" s="537">
        <f t="shared" si="30"/>
        <v>-2.8767123287671593E-5</v>
      </c>
      <c r="L63" s="538">
        <f t="shared" si="30"/>
        <v>-4.2465753424657509E-5</v>
      </c>
      <c r="M63" s="536">
        <f t="shared" si="30"/>
        <v>-4.2465753424657509E-5</v>
      </c>
      <c r="N63" s="539">
        <f t="shared" si="30"/>
        <v>-4.1095890410959048E-5</v>
      </c>
      <c r="O63" s="880">
        <f>SUM(C63:N63)</f>
        <v>-4.4019013399206617E-4</v>
      </c>
      <c r="P63" s="819"/>
      <c r="Q63" s="882"/>
    </row>
    <row r="65" spans="1:17" ht="15.5" x14ac:dyDescent="0.3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143"/>
      <c r="L65" s="22"/>
      <c r="M65" s="22"/>
      <c r="N65" s="22"/>
      <c r="O65" s="22"/>
      <c r="P65" s="22"/>
      <c r="Q65" s="22"/>
    </row>
    <row r="66" spans="1:17" ht="15.5" x14ac:dyDescent="0.3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</row>
    <row r="67" spans="1:17" ht="15.5" x14ac:dyDescent="0.3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 ht="15.5" x14ac:dyDescent="0.3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</row>
    <row r="69" spans="1:17" ht="15.5" x14ac:dyDescent="0.3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</row>
    <row r="70" spans="1:17" ht="15.5" x14ac:dyDescent="0.3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 ht="15.5" x14ac:dyDescent="0.3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1:17" ht="15.5" x14ac:dyDescent="0.3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</row>
  </sheetData>
  <printOptions horizontalCentered="1"/>
  <pageMargins left="0" right="0" top="1" bottom="0.5" header="0.5" footer="0.25"/>
  <pageSetup scale="73" orientation="portrait" r:id="rId1"/>
  <headerFooter alignWithMargins="0">
    <oddHeader>&amp;C&amp;"Times New Roman,Bold"&amp;14San Diego Gas &amp; Electric Co.
TRBAA Monthly Activities Applicable to BK1 and BK2 
For the 12-Month Period Ending September 30,&amp;KFF0000 &amp;K0000002022
2023 Annual TRBAA Rate Filing</oddHeader>
    <oddFooter>&amp;L&amp;"Times New Roman,Regular"&amp;12&amp;F&amp;C&amp;"Times New Roman,Regular"&amp;12Page 4.&amp;P&amp;R&amp;"Times New Roman,Regular"&amp;12&amp;A</oddFooter>
  </headerFooter>
  <colBreaks count="3" manualBreakCount="3">
    <brk id="6" max="43" man="1"/>
    <brk id="10" max="43" man="1"/>
    <brk id="14" max="43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D12"/>
  <sheetViews>
    <sheetView zoomScale="80" zoomScaleNormal="80" workbookViewId="0"/>
  </sheetViews>
  <sheetFormatPr defaultColWidth="9.1796875" defaultRowHeight="12.5" x14ac:dyDescent="0.25"/>
  <cols>
    <col min="1" max="1" width="5.54296875" style="788" bestFit="1" customWidth="1"/>
    <col min="2" max="2" width="135.54296875" style="243" customWidth="1"/>
    <col min="3" max="3" width="5.54296875" style="788" customWidth="1"/>
    <col min="4" max="4" width="5.54296875" style="243" hidden="1" customWidth="1"/>
    <col min="5" max="5" width="11.54296875" style="243" customWidth="1"/>
    <col min="6" max="7" width="9.1796875" style="243"/>
    <col min="8" max="8" width="12.54296875" style="243" bestFit="1" customWidth="1"/>
    <col min="9" max="16384" width="9.1796875" style="243"/>
  </cols>
  <sheetData>
    <row r="1" spans="1:4" ht="16" thickBot="1" x14ac:dyDescent="0.4">
      <c r="A1" s="372"/>
      <c r="B1" s="88"/>
      <c r="C1" s="467"/>
      <c r="D1" s="22"/>
    </row>
    <row r="2" spans="1:4" ht="15.5" x14ac:dyDescent="0.35">
      <c r="A2" s="620" t="s">
        <v>8</v>
      </c>
      <c r="B2" s="615"/>
      <c r="C2" s="621" t="s">
        <v>8</v>
      </c>
      <c r="D2" s="59"/>
    </row>
    <row r="3" spans="1:4" ht="16.5" x14ac:dyDescent="0.35">
      <c r="A3" s="622" t="s">
        <v>11</v>
      </c>
      <c r="B3" s="624" t="s">
        <v>359</v>
      </c>
      <c r="C3" s="623" t="s">
        <v>11</v>
      </c>
      <c r="D3" s="64"/>
    </row>
    <row r="4" spans="1:4" ht="20" x14ac:dyDescent="0.4">
      <c r="A4" s="616"/>
      <c r="B4" s="145"/>
      <c r="C4" s="617"/>
      <c r="D4" s="144"/>
    </row>
    <row r="5" spans="1:4" ht="34.5" x14ac:dyDescent="0.4">
      <c r="A5" s="356">
        <v>1</v>
      </c>
      <c r="B5" s="900" t="s">
        <v>360</v>
      </c>
      <c r="C5" s="360">
        <v>1</v>
      </c>
      <c r="D5" s="144"/>
    </row>
    <row r="6" spans="1:4" ht="20" x14ac:dyDescent="0.4">
      <c r="A6" s="356">
        <f>A5+1</f>
        <v>2</v>
      </c>
      <c r="B6" s="145"/>
      <c r="C6" s="360">
        <f>C5+1</f>
        <v>2</v>
      </c>
      <c r="D6" s="144"/>
    </row>
    <row r="7" spans="1:4" ht="34.5" x14ac:dyDescent="0.4">
      <c r="A7" s="356">
        <f t="shared" ref="A7:A9" si="0">A6+1</f>
        <v>3</v>
      </c>
      <c r="B7" s="900" t="s">
        <v>361</v>
      </c>
      <c r="C7" s="360">
        <f t="shared" ref="C7" si="1">C6+1</f>
        <v>3</v>
      </c>
      <c r="D7" s="144"/>
    </row>
    <row r="8" spans="1:4" ht="20" x14ac:dyDescent="0.4">
      <c r="A8" s="356">
        <f t="shared" si="0"/>
        <v>4</v>
      </c>
      <c r="B8" s="22"/>
      <c r="C8" s="360">
        <f t="shared" ref="C8:C9" si="2">C7+1</f>
        <v>4</v>
      </c>
      <c r="D8" s="144"/>
    </row>
    <row r="9" spans="1:4" ht="49.5" x14ac:dyDescent="0.4">
      <c r="A9" s="356">
        <f t="shared" si="0"/>
        <v>5</v>
      </c>
      <c r="B9" s="901" t="s">
        <v>362</v>
      </c>
      <c r="C9" s="360">
        <f t="shared" si="2"/>
        <v>5</v>
      </c>
      <c r="D9" s="144"/>
    </row>
    <row r="10" spans="1:4" ht="16" thickBot="1" x14ac:dyDescent="0.35">
      <c r="A10" s="618"/>
      <c r="B10" s="55"/>
      <c r="C10" s="619"/>
      <c r="D10" s="142"/>
    </row>
    <row r="11" spans="1:4" ht="13" x14ac:dyDescent="0.3">
      <c r="A11" s="361"/>
      <c r="B11" s="1"/>
      <c r="C11" s="361"/>
      <c r="D11" s="1"/>
    </row>
    <row r="12" spans="1:4" ht="13" x14ac:dyDescent="0.3">
      <c r="A12" s="361"/>
      <c r="B12" s="1"/>
      <c r="C12" s="361"/>
      <c r="D12" s="1"/>
    </row>
  </sheetData>
  <phoneticPr fontId="15" type="noConversion"/>
  <printOptions horizontalCentered="1"/>
  <pageMargins left="0.25" right="0.25" top="1.25" bottom="0.5" header="0.5" footer="0.25"/>
  <pageSetup scale="93" orientation="landscape" r:id="rId1"/>
  <headerFooter alignWithMargins="0">
    <oddHeader xml:space="preserve">&amp;C&amp;"Times New Roman,Bold"&amp;14San Diego Gas &amp;&amp; Electric Co.
2023 &amp;K000000TRBAA Rate Filing
Monthly TRBAA Details for Period Ending September 30, 2022
</oddHeader>
    <oddFooter>&amp;L&amp;"Times New Roman,Regular"&amp;11&amp;F&amp;C&amp;"Times New Roman,Regular"&amp;11Page 4.5&amp;R&amp;"Times New Roman,Regular"&amp;11&amp;A</oddFooter>
  </headerFooter>
  <colBreaks count="1" manualBreakCount="1">
    <brk id="4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S52"/>
  <sheetViews>
    <sheetView zoomScale="80" zoomScaleNormal="8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8.81640625" defaultRowHeight="15.5" x14ac:dyDescent="0.35"/>
  <cols>
    <col min="1" max="1" width="5.54296875" style="22" customWidth="1"/>
    <col min="2" max="2" width="65.54296875" style="22" customWidth="1"/>
    <col min="3" max="15" width="15.54296875" style="22" customWidth="1"/>
    <col min="16" max="16" width="40.54296875" style="22" customWidth="1"/>
    <col min="17" max="17" width="5.54296875" style="22" customWidth="1"/>
    <col min="18" max="18" width="8.81640625" style="22"/>
    <col min="19" max="19" width="14.453125" style="22" bestFit="1" customWidth="1"/>
    <col min="20" max="16384" width="8.81640625" style="22"/>
  </cols>
  <sheetData>
    <row r="2" spans="1:19" ht="16" thickBot="1" x14ac:dyDescent="0.4">
      <c r="C2" s="3"/>
    </row>
    <row r="3" spans="1:19" x14ac:dyDescent="0.35">
      <c r="A3" s="287"/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8"/>
    </row>
    <row r="4" spans="1:19" x14ac:dyDescent="0.35">
      <c r="A4" s="551" t="s">
        <v>8</v>
      </c>
      <c r="B4" s="94"/>
      <c r="C4" s="75" t="s">
        <v>292</v>
      </c>
      <c r="D4" s="75" t="s">
        <v>293</v>
      </c>
      <c r="E4" s="75" t="s">
        <v>294</v>
      </c>
      <c r="F4" s="75" t="s">
        <v>295</v>
      </c>
      <c r="G4" s="75" t="s">
        <v>296</v>
      </c>
      <c r="H4" s="75" t="s">
        <v>297</v>
      </c>
      <c r="I4" s="75" t="s">
        <v>298</v>
      </c>
      <c r="J4" s="75" t="s">
        <v>58</v>
      </c>
      <c r="K4" s="75" t="s">
        <v>59</v>
      </c>
      <c r="L4" s="75" t="s">
        <v>60</v>
      </c>
      <c r="M4" s="75" t="s">
        <v>299</v>
      </c>
      <c r="N4" s="75" t="s">
        <v>300</v>
      </c>
      <c r="O4" s="75"/>
      <c r="P4" s="75"/>
      <c r="Q4" s="552" t="s">
        <v>8</v>
      </c>
    </row>
    <row r="5" spans="1:19" ht="16" thickBot="1" x14ac:dyDescent="0.4">
      <c r="A5" s="569" t="s">
        <v>11</v>
      </c>
      <c r="B5" s="153" t="s">
        <v>71</v>
      </c>
      <c r="C5" s="153">
        <v>2021</v>
      </c>
      <c r="D5" s="153">
        <f>C5</f>
        <v>2021</v>
      </c>
      <c r="E5" s="153">
        <f>C5</f>
        <v>2021</v>
      </c>
      <c r="F5" s="153">
        <f>$C5+1</f>
        <v>2022</v>
      </c>
      <c r="G5" s="153">
        <f t="shared" ref="G5:N5" si="0">$C5+1</f>
        <v>2022</v>
      </c>
      <c r="H5" s="153">
        <f t="shared" si="0"/>
        <v>2022</v>
      </c>
      <c r="I5" s="153">
        <f t="shared" si="0"/>
        <v>2022</v>
      </c>
      <c r="J5" s="153">
        <f t="shared" si="0"/>
        <v>2022</v>
      </c>
      <c r="K5" s="153">
        <f t="shared" si="0"/>
        <v>2022</v>
      </c>
      <c r="L5" s="153">
        <f t="shared" si="0"/>
        <v>2022</v>
      </c>
      <c r="M5" s="153">
        <f t="shared" si="0"/>
        <v>2022</v>
      </c>
      <c r="N5" s="153">
        <f t="shared" si="0"/>
        <v>2022</v>
      </c>
      <c r="O5" s="153" t="s">
        <v>18</v>
      </c>
      <c r="P5" s="153" t="s">
        <v>16</v>
      </c>
      <c r="Q5" s="570" t="s">
        <v>11</v>
      </c>
    </row>
    <row r="6" spans="1:19" x14ac:dyDescent="0.35">
      <c r="A6" s="333"/>
      <c r="B6" s="770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349"/>
    </row>
    <row r="7" spans="1:19" x14ac:dyDescent="0.35">
      <c r="A7" s="263">
        <v>1</v>
      </c>
      <c r="B7" s="94" t="s">
        <v>363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26"/>
      <c r="Q7" s="264">
        <v>1</v>
      </c>
      <c r="S7" s="469"/>
    </row>
    <row r="8" spans="1:19" x14ac:dyDescent="0.35">
      <c r="A8" s="263">
        <f t="shared" ref="A8:A14" si="1">A7+1</f>
        <v>2</v>
      </c>
      <c r="B8" s="17" t="s">
        <v>364</v>
      </c>
      <c r="C8" s="141">
        <v>-1323322.3</v>
      </c>
      <c r="D8" s="141">
        <v>-1227018.43</v>
      </c>
      <c r="E8" s="328">
        <v>-1355933.04</v>
      </c>
      <c r="F8" s="141">
        <v>-755730.89</v>
      </c>
      <c r="G8" s="328">
        <v>-796936.76</v>
      </c>
      <c r="H8" s="141">
        <v>-843434.43</v>
      </c>
      <c r="I8" s="328">
        <v>-2231213.08</v>
      </c>
      <c r="J8" s="141">
        <v>-2972307.95</v>
      </c>
      <c r="K8" s="328">
        <v>-4515264.87</v>
      </c>
      <c r="L8" s="141">
        <v>-3957240.71</v>
      </c>
      <c r="M8" s="328">
        <v>-5217634.42</v>
      </c>
      <c r="N8" s="141">
        <v>-4207480.7699999996</v>
      </c>
      <c r="O8" s="257">
        <f>SUM(C8:N8)</f>
        <v>-29403517.650000002</v>
      </c>
      <c r="P8" s="33" t="s">
        <v>365</v>
      </c>
      <c r="Q8" s="264">
        <f t="shared" ref="Q8:Q14" si="2">Q7+1</f>
        <v>2</v>
      </c>
      <c r="S8" s="470"/>
    </row>
    <row r="9" spans="1:19" x14ac:dyDescent="0.35">
      <c r="A9" s="263">
        <f t="shared" si="1"/>
        <v>3</v>
      </c>
      <c r="B9" s="17" t="s">
        <v>366</v>
      </c>
      <c r="C9" s="44">
        <v>3451.79</v>
      </c>
      <c r="D9" s="44">
        <v>1.1000000000000001</v>
      </c>
      <c r="E9" s="44">
        <v>5522.87</v>
      </c>
      <c r="F9" s="44">
        <v>-1.56</v>
      </c>
      <c r="G9" s="44">
        <v>6532.7400000000007</v>
      </c>
      <c r="H9" s="44">
        <v>10917.28</v>
      </c>
      <c r="I9" s="44">
        <v>0</v>
      </c>
      <c r="J9" s="44">
        <v>2697.93</v>
      </c>
      <c r="K9" s="44">
        <v>10922.24</v>
      </c>
      <c r="L9" s="44">
        <v>3422.06</v>
      </c>
      <c r="M9" s="44">
        <v>21.630000000000003</v>
      </c>
      <c r="N9" s="44">
        <v>13150.69</v>
      </c>
      <c r="O9" s="44">
        <f>SUM(C9:N9)</f>
        <v>56638.77</v>
      </c>
      <c r="P9" s="33" t="s">
        <v>367</v>
      </c>
      <c r="Q9" s="264">
        <f t="shared" si="2"/>
        <v>3</v>
      </c>
      <c r="S9" s="470"/>
    </row>
    <row r="10" spans="1:19" s="471" customFormat="1" x14ac:dyDescent="0.35">
      <c r="A10" s="625">
        <f t="shared" si="1"/>
        <v>4</v>
      </c>
      <c r="B10" s="17" t="s">
        <v>368</v>
      </c>
      <c r="C10" s="468">
        <f t="shared" ref="C10:N10" si="3">SUM(C8:C9)</f>
        <v>-1319870.51</v>
      </c>
      <c r="D10" s="468">
        <f t="shared" si="3"/>
        <v>-1227017.3299999998</v>
      </c>
      <c r="E10" s="468">
        <f>SUM(E8:E9)</f>
        <v>-1350410.17</v>
      </c>
      <c r="F10" s="468">
        <f t="shared" si="3"/>
        <v>-755732.45000000007</v>
      </c>
      <c r="G10" s="468">
        <f t="shared" si="3"/>
        <v>-790404.02</v>
      </c>
      <c r="H10" s="468">
        <f t="shared" si="3"/>
        <v>-832517.15</v>
      </c>
      <c r="I10" s="468">
        <f t="shared" si="3"/>
        <v>-2231213.08</v>
      </c>
      <c r="J10" s="468">
        <f t="shared" si="3"/>
        <v>-2969610.02</v>
      </c>
      <c r="K10" s="468">
        <f t="shared" si="3"/>
        <v>-4504342.63</v>
      </c>
      <c r="L10" s="468">
        <f t="shared" si="3"/>
        <v>-3953818.65</v>
      </c>
      <c r="M10" s="468">
        <f t="shared" si="3"/>
        <v>-5217612.79</v>
      </c>
      <c r="N10" s="468">
        <f t="shared" si="3"/>
        <v>-4194330.0799999991</v>
      </c>
      <c r="O10" s="474">
        <f>SUM(O8:O9)</f>
        <v>-29346878.880000003</v>
      </c>
      <c r="P10" s="10"/>
      <c r="Q10" s="264">
        <f t="shared" si="2"/>
        <v>4</v>
      </c>
    </row>
    <row r="11" spans="1:19" ht="16" thickBot="1" x14ac:dyDescent="0.4">
      <c r="A11" s="301">
        <f>A10+1</f>
        <v>5</v>
      </c>
      <c r="B11" s="99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413"/>
      <c r="P11" s="57"/>
      <c r="Q11" s="302">
        <f>Q10+1</f>
        <v>5</v>
      </c>
    </row>
    <row r="12" spans="1:19" x14ac:dyDescent="0.35">
      <c r="A12" s="263">
        <f t="shared" si="1"/>
        <v>6</v>
      </c>
      <c r="B12" s="98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228"/>
      <c r="P12" s="26"/>
      <c r="Q12" s="264">
        <f t="shared" si="2"/>
        <v>6</v>
      </c>
    </row>
    <row r="13" spans="1:19" ht="16" thickBot="1" x14ac:dyDescent="0.4">
      <c r="A13" s="263">
        <f>A12+1</f>
        <v>7</v>
      </c>
      <c r="B13" s="94" t="s">
        <v>369</v>
      </c>
      <c r="C13" s="232">
        <v>1500</v>
      </c>
      <c r="D13" s="232">
        <v>1500</v>
      </c>
      <c r="E13" s="232">
        <v>1500</v>
      </c>
      <c r="F13" s="232">
        <v>1500</v>
      </c>
      <c r="G13" s="232">
        <v>1500</v>
      </c>
      <c r="H13" s="232">
        <v>1500</v>
      </c>
      <c r="I13" s="232">
        <v>1500</v>
      </c>
      <c r="J13" s="232">
        <v>1500</v>
      </c>
      <c r="K13" s="232">
        <v>1500</v>
      </c>
      <c r="L13" s="232">
        <v>1500</v>
      </c>
      <c r="M13" s="232">
        <v>1500</v>
      </c>
      <c r="N13" s="232">
        <v>1500</v>
      </c>
      <c r="O13" s="192">
        <f>SUM(C13:N13)</f>
        <v>18000</v>
      </c>
      <c r="P13" s="10" t="s">
        <v>370</v>
      </c>
      <c r="Q13" s="264">
        <f>Q12+1</f>
        <v>7</v>
      </c>
    </row>
    <row r="14" spans="1:19" ht="16.5" thickTop="1" thickBot="1" x14ac:dyDescent="0.4">
      <c r="A14" s="301">
        <f t="shared" si="1"/>
        <v>8</v>
      </c>
      <c r="B14" s="81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413"/>
      <c r="P14" s="57"/>
      <c r="Q14" s="302">
        <f t="shared" si="2"/>
        <v>8</v>
      </c>
    </row>
    <row r="15" spans="1:19" x14ac:dyDescent="0.35">
      <c r="A15" s="263">
        <f>A14+1</f>
        <v>9</v>
      </c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228"/>
      <c r="P15" s="10"/>
      <c r="Q15" s="264">
        <f t="shared" ref="Q15:Q20" si="4">Q14+1</f>
        <v>9</v>
      </c>
    </row>
    <row r="16" spans="1:19" ht="16" thickBot="1" x14ac:dyDescent="0.4">
      <c r="A16" s="263">
        <f>A15+1</f>
        <v>10</v>
      </c>
      <c r="B16" s="74" t="s">
        <v>371</v>
      </c>
      <c r="C16" s="232">
        <f>'WP 10 ETC Costs'!D49</f>
        <v>-116896.19999999997</v>
      </c>
      <c r="D16" s="232">
        <f>'WP 10 ETC Costs'!E49</f>
        <v>-92653.579999999973</v>
      </c>
      <c r="E16" s="232">
        <f>'WP 10 ETC Costs'!F49</f>
        <v>112616.98000000001</v>
      </c>
      <c r="F16" s="232">
        <f>'WP 10 ETC Costs'!G49</f>
        <v>-110138.31999999996</v>
      </c>
      <c r="G16" s="232">
        <f>'WP 10 ETC Costs'!H49</f>
        <v>-73571.67</v>
      </c>
      <c r="H16" s="232">
        <f>'WP 10 ETC Costs'!I49</f>
        <v>-92521.089999999982</v>
      </c>
      <c r="I16" s="232">
        <f>'WP 10 ETC Costs'!J49</f>
        <v>-95322.360000000015</v>
      </c>
      <c r="J16" s="232">
        <f>'WP 10 ETC Costs'!K49</f>
        <v>-55480.089999999975</v>
      </c>
      <c r="K16" s="232">
        <f>'WP 10 ETC Costs'!L49</f>
        <v>-65693.819999999978</v>
      </c>
      <c r="L16" s="232">
        <f>'WP 10 ETC Costs'!M49</f>
        <v>-83198.849999999962</v>
      </c>
      <c r="M16" s="232">
        <f>'WP 10 ETC Costs'!N49</f>
        <v>-58424.279999999992</v>
      </c>
      <c r="N16" s="232">
        <f>'WP 10 ETC Costs'!O49</f>
        <v>40230.639999999948</v>
      </c>
      <c r="O16" s="192">
        <f>SUM(C16:N16)</f>
        <v>-691052.6399999999</v>
      </c>
      <c r="P16" s="10" t="s">
        <v>529</v>
      </c>
      <c r="Q16" s="264">
        <f t="shared" si="4"/>
        <v>10</v>
      </c>
    </row>
    <row r="17" spans="1:17" ht="16.5" thickTop="1" thickBot="1" x14ac:dyDescent="0.4">
      <c r="A17" s="301">
        <f>A16+1</f>
        <v>11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472"/>
      <c r="P17" s="57"/>
      <c r="Q17" s="302">
        <f t="shared" si="4"/>
        <v>11</v>
      </c>
    </row>
    <row r="18" spans="1:17" x14ac:dyDescent="0.35">
      <c r="A18" s="263">
        <f>A17+1</f>
        <v>12</v>
      </c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228"/>
      <c r="P18" s="10"/>
      <c r="Q18" s="264">
        <f t="shared" si="4"/>
        <v>12</v>
      </c>
    </row>
    <row r="19" spans="1:17" ht="16" thickBot="1" x14ac:dyDescent="0.4">
      <c r="A19" s="263">
        <f t="shared" ref="A19:A20" si="5">A18+1</f>
        <v>13</v>
      </c>
      <c r="B19" s="94" t="s">
        <v>372</v>
      </c>
      <c r="C19" s="232">
        <f>'WP 12 PTO'!D17</f>
        <v>-7947.19</v>
      </c>
      <c r="D19" s="232">
        <f>'WP 12 PTO'!E17</f>
        <v>-15028.39</v>
      </c>
      <c r="E19" s="232">
        <f>'WP 12 PTO'!F17</f>
        <v>-6146.52</v>
      </c>
      <c r="F19" s="232">
        <f>'WP 12 PTO'!G17</f>
        <v>-3304.92</v>
      </c>
      <c r="G19" s="232">
        <f>'WP 12 PTO'!H17</f>
        <v>1450.85</v>
      </c>
      <c r="H19" s="232">
        <f>'WP 12 PTO'!I17</f>
        <v>20054.129999999997</v>
      </c>
      <c r="I19" s="232">
        <f>'WP 12 PTO'!J17</f>
        <v>145181.26999999999</v>
      </c>
      <c r="J19" s="232">
        <f>'WP 12 PTO'!K17</f>
        <v>38164.47</v>
      </c>
      <c r="K19" s="232">
        <f>'WP 12 PTO'!L17</f>
        <v>-798.78</v>
      </c>
      <c r="L19" s="232">
        <f>'WP 12 PTO'!M17</f>
        <v>3451.4400000000005</v>
      </c>
      <c r="M19" s="232">
        <f>'WP 12 PTO'!N17</f>
        <v>-5237.05</v>
      </c>
      <c r="N19" s="232">
        <f>'WP 12 PTO'!O17</f>
        <v>-654299.5199999999</v>
      </c>
      <c r="O19" s="192">
        <f>SUM(C19:N19)</f>
        <v>-484460.2099999999</v>
      </c>
      <c r="P19" s="10" t="s">
        <v>528</v>
      </c>
      <c r="Q19" s="264">
        <f t="shared" si="4"/>
        <v>13</v>
      </c>
    </row>
    <row r="20" spans="1:17" ht="16.5" thickTop="1" thickBot="1" x14ac:dyDescent="0.4">
      <c r="A20" s="301">
        <f t="shared" si="5"/>
        <v>14</v>
      </c>
      <c r="B20" s="81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3"/>
      <c r="P20" s="57"/>
      <c r="Q20" s="302">
        <f t="shared" si="4"/>
        <v>14</v>
      </c>
    </row>
    <row r="22" spans="1:17" x14ac:dyDescent="0.35">
      <c r="A22" s="37"/>
    </row>
    <row r="23" spans="1:17" x14ac:dyDescent="0.35">
      <c r="A23" s="37"/>
      <c r="B23" s="22" t="s">
        <v>373</v>
      </c>
    </row>
    <row r="24" spans="1:17" ht="18.5" x14ac:dyDescent="0.35">
      <c r="A24" s="511"/>
      <c r="B24" s="91" t="s">
        <v>18</v>
      </c>
      <c r="C24" s="143">
        <f>C10+C13+C16+C19</f>
        <v>-1443213.9</v>
      </c>
      <c r="D24" s="143">
        <f t="shared" ref="D24:N24" si="6">D10+D13+D16+D19</f>
        <v>-1333199.2999999998</v>
      </c>
      <c r="E24" s="143">
        <f t="shared" si="6"/>
        <v>-1242439.71</v>
      </c>
      <c r="F24" s="143">
        <f t="shared" si="6"/>
        <v>-867675.69000000006</v>
      </c>
      <c r="G24" s="143">
        <f t="shared" si="6"/>
        <v>-861024.84000000008</v>
      </c>
      <c r="H24" s="143">
        <f t="shared" si="6"/>
        <v>-903484.11</v>
      </c>
      <c r="I24" s="143">
        <f t="shared" si="6"/>
        <v>-2179854.17</v>
      </c>
      <c r="J24" s="143">
        <f t="shared" si="6"/>
        <v>-2985425.6399999997</v>
      </c>
      <c r="K24" s="143">
        <f t="shared" si="6"/>
        <v>-4569335.2300000004</v>
      </c>
      <c r="L24" s="143">
        <f t="shared" si="6"/>
        <v>-4032066.06</v>
      </c>
      <c r="M24" s="143">
        <f t="shared" si="6"/>
        <v>-5279774.12</v>
      </c>
      <c r="N24" s="143">
        <f t="shared" si="6"/>
        <v>-4806898.959999999</v>
      </c>
      <c r="O24" s="143">
        <f>SUM(C24:N24)</f>
        <v>-30504391.729999997</v>
      </c>
    </row>
    <row r="25" spans="1:17" ht="18.5" x14ac:dyDescent="0.35">
      <c r="A25" s="511"/>
      <c r="B25" s="91" t="s">
        <v>374</v>
      </c>
      <c r="C25" s="143">
        <f>'WP 4 Monthly TRBAA '!C21</f>
        <v>-1443213.9</v>
      </c>
      <c r="D25" s="143">
        <f>'WP 4 Monthly TRBAA '!D21</f>
        <v>-1333199.2999999998</v>
      </c>
      <c r="E25" s="143">
        <f>'WP 4 Monthly TRBAA '!E21</f>
        <v>-1242439.71</v>
      </c>
      <c r="F25" s="143">
        <f>'WP 4 Monthly TRBAA '!F21</f>
        <v>-867675.69000000006</v>
      </c>
      <c r="G25" s="143">
        <f>'WP 4 Monthly TRBAA '!G21</f>
        <v>-861024.84000000008</v>
      </c>
      <c r="H25" s="143">
        <f>'WP 4 Monthly TRBAA '!H21</f>
        <v>-903484.11</v>
      </c>
      <c r="I25" s="143">
        <f>'WP 4 Monthly TRBAA '!I21</f>
        <v>-2179854.17</v>
      </c>
      <c r="J25" s="143">
        <f>'WP 4 Monthly TRBAA '!J21</f>
        <v>-2985425.6399999997</v>
      </c>
      <c r="K25" s="143">
        <f>'WP 4 Monthly TRBAA '!K21</f>
        <v>-4569335.2300000004</v>
      </c>
      <c r="L25" s="143">
        <f>'WP 4 Monthly TRBAA '!L21</f>
        <v>-4032066.06</v>
      </c>
      <c r="M25" s="143">
        <f>'WP 4 Monthly TRBAA '!M21</f>
        <v>-5279774.12</v>
      </c>
      <c r="N25" s="143">
        <f>'WP 4 Monthly TRBAA '!N21</f>
        <v>-4806898.959999999</v>
      </c>
      <c r="O25" s="143">
        <f>SUM(C25:N25)</f>
        <v>-30504391.729999997</v>
      </c>
    </row>
    <row r="26" spans="1:17" ht="19" thickBot="1" x14ac:dyDescent="0.4">
      <c r="A26" s="511"/>
      <c r="B26" s="22" t="s">
        <v>76</v>
      </c>
      <c r="C26" s="512">
        <f>C24-C25</f>
        <v>0</v>
      </c>
      <c r="D26" s="512">
        <f t="shared" ref="D26:O26" si="7">D24-D25</f>
        <v>0</v>
      </c>
      <c r="E26" s="512">
        <f t="shared" si="7"/>
        <v>0</v>
      </c>
      <c r="F26" s="512">
        <f t="shared" si="7"/>
        <v>0</v>
      </c>
      <c r="G26" s="512">
        <f t="shared" si="7"/>
        <v>0</v>
      </c>
      <c r="H26" s="512">
        <f t="shared" si="7"/>
        <v>0</v>
      </c>
      <c r="I26" s="512">
        <f t="shared" si="7"/>
        <v>0</v>
      </c>
      <c r="J26" s="512">
        <f t="shared" si="7"/>
        <v>0</v>
      </c>
      <c r="K26" s="512">
        <f t="shared" si="7"/>
        <v>0</v>
      </c>
      <c r="L26" s="512">
        <f t="shared" si="7"/>
        <v>0</v>
      </c>
      <c r="M26" s="512">
        <f t="shared" si="7"/>
        <v>0</v>
      </c>
      <c r="N26" s="512">
        <f>N24-N25</f>
        <v>0</v>
      </c>
      <c r="O26" s="512">
        <f t="shared" si="7"/>
        <v>0</v>
      </c>
    </row>
    <row r="27" spans="1:17" ht="19" thickTop="1" x14ac:dyDescent="0.35">
      <c r="A27" s="67"/>
      <c r="C27" s="67"/>
    </row>
    <row r="28" spans="1:17" ht="18.5" x14ac:dyDescent="0.35">
      <c r="A28" s="67"/>
      <c r="C28" s="143"/>
      <c r="O28" s="473"/>
    </row>
    <row r="29" spans="1:17" x14ac:dyDescent="0.35">
      <c r="A29" s="37"/>
    </row>
    <row r="30" spans="1:17" x14ac:dyDescent="0.35">
      <c r="A30" s="37"/>
    </row>
    <row r="31" spans="1:17" x14ac:dyDescent="0.35">
      <c r="A31" s="37"/>
    </row>
    <row r="32" spans="1:17" x14ac:dyDescent="0.35">
      <c r="A32" s="37"/>
    </row>
    <row r="33" spans="1:1" x14ac:dyDescent="0.35">
      <c r="A33" s="37"/>
    </row>
    <row r="34" spans="1:1" x14ac:dyDescent="0.35">
      <c r="A34" s="37"/>
    </row>
    <row r="35" spans="1:1" x14ac:dyDescent="0.35">
      <c r="A35" s="37"/>
    </row>
    <row r="36" spans="1:1" x14ac:dyDescent="0.35">
      <c r="A36" s="37"/>
    </row>
    <row r="37" spans="1:1" x14ac:dyDescent="0.35">
      <c r="A37" s="37"/>
    </row>
    <row r="38" spans="1:1" x14ac:dyDescent="0.35">
      <c r="A38" s="37"/>
    </row>
    <row r="39" spans="1:1" x14ac:dyDescent="0.35">
      <c r="A39" s="37"/>
    </row>
    <row r="40" spans="1:1" x14ac:dyDescent="0.35">
      <c r="A40" s="37"/>
    </row>
    <row r="41" spans="1:1" x14ac:dyDescent="0.35">
      <c r="A41" s="37"/>
    </row>
    <row r="42" spans="1:1" x14ac:dyDescent="0.35">
      <c r="A42" s="37"/>
    </row>
    <row r="43" spans="1:1" x14ac:dyDescent="0.35">
      <c r="A43" s="37"/>
    </row>
    <row r="44" spans="1:1" x14ac:dyDescent="0.35">
      <c r="A44" s="37"/>
    </row>
    <row r="45" spans="1:1" x14ac:dyDescent="0.35">
      <c r="A45" s="37"/>
    </row>
    <row r="46" spans="1:1" x14ac:dyDescent="0.35">
      <c r="A46" s="37"/>
    </row>
    <row r="47" spans="1:1" x14ac:dyDescent="0.35">
      <c r="A47" s="37"/>
    </row>
    <row r="48" spans="1:1" x14ac:dyDescent="0.35">
      <c r="A48" s="37"/>
    </row>
    <row r="49" spans="1:1" x14ac:dyDescent="0.35">
      <c r="A49" s="37"/>
    </row>
    <row r="50" spans="1:1" x14ac:dyDescent="0.35">
      <c r="A50" s="37"/>
    </row>
    <row r="51" spans="1:1" x14ac:dyDescent="0.35">
      <c r="A51" s="37"/>
    </row>
    <row r="52" spans="1:1" x14ac:dyDescent="0.35">
      <c r="A52" s="37"/>
    </row>
  </sheetData>
  <phoneticPr fontId="15" type="noConversion"/>
  <printOptions horizontalCentered="1"/>
  <pageMargins left="0" right="0" top="1" bottom="0.25" header="0.5" footer="0.25"/>
  <pageSetup scale="68" orientation="landscape" r:id="rId1"/>
  <headerFooter alignWithMargins="0">
    <oddHeader xml:space="preserve">&amp;C&amp;"Times New Roman,Bold"&amp;14San Diego Gas &amp;&amp; Electric Company
2023 TRBAA Rate Filing
CAISO Charges Oct. 2021 - Sept. 2022&amp;"Times New Roman,Regular"&amp;K000000
</oddHeader>
    <oddFooter>&amp;L&amp;"Times New Roman,Regular"&amp;12&amp;F&amp;C&amp;"Times New Roman,Regular"&amp;12Page 5.&amp;P&amp;R&amp;"Times New Roman,Regular"&amp;12WP 5  Summary of Monthly CAISO Charges</oddFooter>
  </headerFooter>
  <colBreaks count="1" manualBreakCount="1">
    <brk id="10" max="19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AB551-5630-48E8-85A2-2286413BBC13}">
  <sheetPr>
    <pageSetUpPr fitToPage="1"/>
  </sheetPr>
  <dimension ref="A1:M58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81.36328125" style="2" customWidth="1"/>
    <col min="3" max="5" width="18.54296875" style="1" customWidth="1"/>
    <col min="6" max="6" width="59.54296875" style="1" bestFit="1" customWidth="1"/>
    <col min="7" max="7" width="5.54296875" style="1" customWidth="1"/>
    <col min="8" max="16384" width="8.54296875" style="1"/>
  </cols>
  <sheetData>
    <row r="1" spans="1:13" x14ac:dyDescent="0.3">
      <c r="H1" s="300"/>
      <c r="I1" s="300"/>
      <c r="J1" s="300"/>
      <c r="K1" s="300"/>
      <c r="L1" s="300"/>
      <c r="M1" s="300"/>
    </row>
    <row r="2" spans="1:13" ht="15" x14ac:dyDescent="0.3">
      <c r="A2" s="5" t="s">
        <v>1</v>
      </c>
      <c r="B2" s="626"/>
      <c r="C2" s="626"/>
      <c r="D2" s="626"/>
      <c r="E2" s="626"/>
      <c r="F2" s="626"/>
      <c r="G2" s="626"/>
    </row>
    <row r="3" spans="1:13" ht="15" x14ac:dyDescent="0.3">
      <c r="A3" s="970" t="str">
        <f>'WP 7 Wheeling Revenues'!A3:G3</f>
        <v>2023 - TRBAA Rate Filing</v>
      </c>
      <c r="B3" s="970"/>
      <c r="C3" s="970"/>
      <c r="D3" s="970"/>
      <c r="E3" s="970"/>
      <c r="F3" s="970"/>
      <c r="G3" s="970"/>
    </row>
    <row r="4" spans="1:13" ht="15" x14ac:dyDescent="0.3">
      <c r="A4" s="5" t="s">
        <v>375</v>
      </c>
      <c r="B4" s="626"/>
      <c r="C4" s="626"/>
      <c r="D4" s="626"/>
      <c r="E4" s="626"/>
      <c r="F4" s="626"/>
      <c r="G4" s="626"/>
    </row>
    <row r="5" spans="1:13" ht="13.5" thickBot="1" x14ac:dyDescent="0.35"/>
    <row r="6" spans="1:13" ht="15" x14ac:dyDescent="0.3">
      <c r="A6" s="557" t="s">
        <v>8</v>
      </c>
      <c r="B6" s="627"/>
      <c r="C6" s="627"/>
      <c r="D6" s="627"/>
      <c r="E6" s="628"/>
      <c r="F6" s="458"/>
      <c r="G6" s="559" t="s">
        <v>8</v>
      </c>
    </row>
    <row r="7" spans="1:13" ht="15.5" thickBot="1" x14ac:dyDescent="0.35">
      <c r="A7" s="569" t="s">
        <v>11</v>
      </c>
      <c r="B7" s="629"/>
      <c r="C7" s="629"/>
      <c r="D7" s="629"/>
      <c r="E7" s="630"/>
      <c r="F7" s="153" t="s">
        <v>16</v>
      </c>
      <c r="G7" s="570" t="s">
        <v>11</v>
      </c>
    </row>
    <row r="8" spans="1:13" ht="15.5" x14ac:dyDescent="0.35">
      <c r="A8" s="263">
        <v>1</v>
      </c>
      <c r="B8" s="156" t="s">
        <v>376</v>
      </c>
      <c r="C8" s="631" t="s">
        <v>3</v>
      </c>
      <c r="D8" s="165" t="s">
        <v>4</v>
      </c>
      <c r="E8" s="165" t="s">
        <v>198</v>
      </c>
      <c r="F8" s="36"/>
      <c r="G8" s="264">
        <v>1</v>
      </c>
    </row>
    <row r="9" spans="1:13" ht="15.5" x14ac:dyDescent="0.35">
      <c r="A9" s="263">
        <f t="shared" ref="A9:A27" si="0">A8+1</f>
        <v>2</v>
      </c>
      <c r="B9" s="156"/>
      <c r="C9" s="158"/>
      <c r="D9" s="158"/>
      <c r="E9" s="158"/>
      <c r="F9" s="36"/>
      <c r="G9" s="264">
        <f>A9</f>
        <v>2</v>
      </c>
    </row>
    <row r="10" spans="1:13" ht="16" thickBot="1" x14ac:dyDescent="0.4">
      <c r="A10" s="263">
        <f t="shared" si="0"/>
        <v>3</v>
      </c>
      <c r="B10" s="156" t="s">
        <v>377</v>
      </c>
      <c r="C10" s="153" t="s">
        <v>232</v>
      </c>
      <c r="D10" s="153" t="s">
        <v>233</v>
      </c>
      <c r="E10" s="153" t="s">
        <v>18</v>
      </c>
      <c r="F10" s="75"/>
      <c r="G10" s="264">
        <f t="shared" ref="G10:G18" si="1">A10</f>
        <v>3</v>
      </c>
    </row>
    <row r="11" spans="1:13" ht="15.5" x14ac:dyDescent="0.35">
      <c r="A11" s="263">
        <f t="shared" si="0"/>
        <v>4</v>
      </c>
      <c r="B11" s="796"/>
      <c r="C11" s="797"/>
      <c r="D11" s="75"/>
      <c r="E11" s="75"/>
      <c r="F11" s="90"/>
      <c r="G11" s="264">
        <f t="shared" si="1"/>
        <v>4</v>
      </c>
    </row>
    <row r="12" spans="1:13" ht="32.25" customHeight="1" x14ac:dyDescent="0.35">
      <c r="A12" s="356">
        <f t="shared" si="0"/>
        <v>5</v>
      </c>
      <c r="B12" s="357" t="s">
        <v>507</v>
      </c>
      <c r="C12" s="358">
        <v>3962206.1076956089</v>
      </c>
      <c r="D12" s="358">
        <v>3372018.0199404825</v>
      </c>
      <c r="E12" s="358">
        <f>SUM(C12:D12)</f>
        <v>7334224.1276360918</v>
      </c>
      <c r="F12" s="190" t="s">
        <v>509</v>
      </c>
      <c r="G12" s="264">
        <f t="shared" si="1"/>
        <v>5</v>
      </c>
    </row>
    <row r="13" spans="1:13" ht="15.5" x14ac:dyDescent="0.35">
      <c r="A13" s="263">
        <f t="shared" si="0"/>
        <v>6</v>
      </c>
      <c r="B13" s="68"/>
      <c r="C13" s="797"/>
      <c r="D13" s="75"/>
      <c r="E13" s="75"/>
      <c r="F13" s="90"/>
      <c r="G13" s="264">
        <f t="shared" si="1"/>
        <v>6</v>
      </c>
    </row>
    <row r="14" spans="1:13" ht="28.5" x14ac:dyDescent="0.35">
      <c r="A14" s="356">
        <f t="shared" si="0"/>
        <v>7</v>
      </c>
      <c r="B14" s="357" t="s">
        <v>508</v>
      </c>
      <c r="C14" s="359">
        <v>156938.39142610514</v>
      </c>
      <c r="D14" s="359">
        <v>627942.85822268494</v>
      </c>
      <c r="E14" s="359">
        <f>SUM(C14:D14)</f>
        <v>784881.24964879011</v>
      </c>
      <c r="F14" s="190" t="s">
        <v>510</v>
      </c>
      <c r="G14" s="264">
        <f t="shared" si="1"/>
        <v>7</v>
      </c>
    </row>
    <row r="15" spans="1:13" ht="15.5" x14ac:dyDescent="0.35">
      <c r="A15" s="263">
        <f t="shared" si="0"/>
        <v>8</v>
      </c>
      <c r="B15" s="68"/>
      <c r="C15" s="75"/>
      <c r="D15" s="75"/>
      <c r="E15" s="75"/>
      <c r="F15" s="90"/>
      <c r="G15" s="264">
        <f t="shared" si="1"/>
        <v>8</v>
      </c>
    </row>
    <row r="16" spans="1:13" ht="16" thickBot="1" x14ac:dyDescent="0.4">
      <c r="A16" s="263">
        <f t="shared" si="0"/>
        <v>9</v>
      </c>
      <c r="B16" s="303" t="s">
        <v>378</v>
      </c>
      <c r="C16" s="192">
        <f>C12+C14</f>
        <v>4119144.4991217139</v>
      </c>
      <c r="D16" s="192">
        <f t="shared" ref="D16:E16" si="2">D12+D14</f>
        <v>3999960.8781631673</v>
      </c>
      <c r="E16" s="192">
        <f t="shared" si="2"/>
        <v>8119105.3772848817</v>
      </c>
      <c r="F16" s="242" t="s">
        <v>379</v>
      </c>
      <c r="G16" s="264">
        <f t="shared" si="1"/>
        <v>9</v>
      </c>
    </row>
    <row r="17" spans="1:7" ht="16" thickTop="1" x14ac:dyDescent="0.35">
      <c r="A17" s="263">
        <f t="shared" si="0"/>
        <v>10</v>
      </c>
      <c r="B17" s="303"/>
      <c r="C17" s="228"/>
      <c r="D17" s="228"/>
      <c r="E17" s="228"/>
      <c r="F17" s="242"/>
      <c r="G17" s="264">
        <f t="shared" si="1"/>
        <v>10</v>
      </c>
    </row>
    <row r="18" spans="1:7" ht="16" thickBot="1" x14ac:dyDescent="0.4">
      <c r="A18" s="263">
        <f t="shared" si="0"/>
        <v>11</v>
      </c>
      <c r="B18" s="303" t="s">
        <v>380</v>
      </c>
      <c r="C18" s="229">
        <f>ROUND(C16/$E16,4)</f>
        <v>0.50729999999999997</v>
      </c>
      <c r="D18" s="229">
        <f>ROUND(D16/$E16,4)</f>
        <v>0.49270000000000003</v>
      </c>
      <c r="E18" s="229">
        <f>SUM(C18:D18)</f>
        <v>1</v>
      </c>
      <c r="F18" s="242" t="s">
        <v>381</v>
      </c>
      <c r="G18" s="264">
        <f t="shared" si="1"/>
        <v>11</v>
      </c>
    </row>
    <row r="19" spans="1:7" ht="16.5" thickTop="1" thickBot="1" x14ac:dyDescent="0.4">
      <c r="A19" s="301">
        <f t="shared" si="0"/>
        <v>12</v>
      </c>
      <c r="B19" s="230"/>
      <c r="C19" s="231"/>
      <c r="D19" s="231"/>
      <c r="E19" s="231"/>
      <c r="F19" s="77"/>
      <c r="G19" s="302">
        <f>A19</f>
        <v>12</v>
      </c>
    </row>
    <row r="20" spans="1:7" ht="17.5" x14ac:dyDescent="0.35">
      <c r="A20" s="263">
        <f t="shared" si="0"/>
        <v>13</v>
      </c>
      <c r="B20" s="156" t="s">
        <v>382</v>
      </c>
      <c r="C20" s="746"/>
      <c r="D20" s="746"/>
      <c r="E20" s="746"/>
      <c r="F20" s="36"/>
      <c r="G20" s="264">
        <f>A20</f>
        <v>13</v>
      </c>
    </row>
    <row r="21" spans="1:7" ht="17.5" x14ac:dyDescent="0.35">
      <c r="A21" s="263">
        <f t="shared" si="0"/>
        <v>14</v>
      </c>
      <c r="B21" s="68"/>
      <c r="C21" s="746"/>
      <c r="D21" s="746"/>
      <c r="E21" s="798"/>
      <c r="F21" s="36"/>
      <c r="G21" s="264">
        <f t="shared" ref="G21:G26" si="3">A21</f>
        <v>14</v>
      </c>
    </row>
    <row r="22" spans="1:7" ht="31" x14ac:dyDescent="0.35">
      <c r="A22" s="263">
        <f t="shared" si="0"/>
        <v>15</v>
      </c>
      <c r="B22" s="747" t="s">
        <v>511</v>
      </c>
      <c r="C22" s="748">
        <f>'WP 7 Wheeling Revenues'!C37</f>
        <v>-29346878.879999995</v>
      </c>
      <c r="D22" s="748">
        <f>'WP 7 Wheeling Revenues'!D37</f>
        <v>0</v>
      </c>
      <c r="E22" s="749">
        <f>SUM(C22:D22)</f>
        <v>-29346878.879999995</v>
      </c>
      <c r="F22" s="242" t="s">
        <v>383</v>
      </c>
      <c r="G22" s="264">
        <f t="shared" si="3"/>
        <v>15</v>
      </c>
    </row>
    <row r="23" spans="1:7" ht="15.5" x14ac:dyDescent="0.35">
      <c r="A23" s="263">
        <f t="shared" si="0"/>
        <v>16</v>
      </c>
      <c r="B23" s="303"/>
      <c r="C23" s="748"/>
      <c r="D23" s="748"/>
      <c r="E23" s="749"/>
      <c r="F23" s="242"/>
      <c r="G23" s="264">
        <f t="shared" si="3"/>
        <v>16</v>
      </c>
    </row>
    <row r="24" spans="1:7" ht="15.5" x14ac:dyDescent="0.35">
      <c r="A24" s="263">
        <f t="shared" si="0"/>
        <v>17</v>
      </c>
      <c r="B24" s="303" t="s">
        <v>384</v>
      </c>
      <c r="C24" s="750">
        <f>E18</f>
        <v>1</v>
      </c>
      <c r="D24" s="750">
        <v>0</v>
      </c>
      <c r="E24" s="750">
        <f>SUM(C24:D24)</f>
        <v>1</v>
      </c>
      <c r="F24" s="37" t="s">
        <v>385</v>
      </c>
      <c r="G24" s="264">
        <f t="shared" si="3"/>
        <v>17</v>
      </c>
    </row>
    <row r="25" spans="1:7" ht="15.5" x14ac:dyDescent="0.35">
      <c r="A25" s="263">
        <f t="shared" si="0"/>
        <v>18</v>
      </c>
      <c r="B25" s="303"/>
      <c r="C25" s="751"/>
      <c r="D25" s="751"/>
      <c r="E25" s="751"/>
      <c r="F25" s="242"/>
      <c r="G25" s="264">
        <f t="shared" si="3"/>
        <v>18</v>
      </c>
    </row>
    <row r="26" spans="1:7" ht="16" thickBot="1" x14ac:dyDescent="0.4">
      <c r="A26" s="263">
        <f>A25+1</f>
        <v>19</v>
      </c>
      <c r="B26" s="92" t="s">
        <v>386</v>
      </c>
      <c r="C26" s="752">
        <f>C22*C24</f>
        <v>-29346878.879999995</v>
      </c>
      <c r="D26" s="752">
        <f>D22*D24</f>
        <v>0</v>
      </c>
      <c r="E26" s="753">
        <f>SUM(C26:D26)</f>
        <v>-29346878.879999995</v>
      </c>
      <c r="F26" s="37" t="s">
        <v>387</v>
      </c>
      <c r="G26" s="264">
        <f t="shared" si="3"/>
        <v>19</v>
      </c>
    </row>
    <row r="27" spans="1:7" ht="16.5" thickTop="1" thickBot="1" x14ac:dyDescent="0.4">
      <c r="A27" s="301">
        <f t="shared" si="0"/>
        <v>20</v>
      </c>
      <c r="B27" s="754"/>
      <c r="C27" s="799"/>
      <c r="D27" s="755"/>
      <c r="E27" s="755"/>
      <c r="F27" s="756"/>
      <c r="G27" s="302">
        <f t="shared" ref="G27" si="4">G26+1</f>
        <v>20</v>
      </c>
    </row>
    <row r="28" spans="1:7" ht="15.5" x14ac:dyDescent="0.35">
      <c r="A28" s="299">
        <f>A27+1</f>
        <v>21</v>
      </c>
      <c r="B28" s="632" t="s">
        <v>388</v>
      </c>
      <c r="C28" s="633"/>
      <c r="D28" s="634"/>
      <c r="E28" s="633"/>
      <c r="F28" s="592"/>
      <c r="G28" s="460">
        <f>G27+1</f>
        <v>21</v>
      </c>
    </row>
    <row r="29" spans="1:7" ht="15.5" x14ac:dyDescent="0.35">
      <c r="A29" s="263">
        <f>A28+1</f>
        <v>22</v>
      </c>
      <c r="B29" s="386"/>
      <c r="C29" s="159"/>
      <c r="D29" s="36"/>
      <c r="E29" s="798"/>
      <c r="F29" s="635"/>
      <c r="G29" s="350">
        <f>G28+1</f>
        <v>22</v>
      </c>
    </row>
    <row r="30" spans="1:7" ht="29" thickBot="1" x14ac:dyDescent="0.4">
      <c r="A30" s="263">
        <f t="shared" ref="A30:A39" si="5">A29+1</f>
        <v>23</v>
      </c>
      <c r="B30" s="734" t="s">
        <v>512</v>
      </c>
      <c r="C30" s="636"/>
      <c r="D30" s="104"/>
      <c r="E30" s="227">
        <f>'WP 8 CT4575'!C34</f>
        <v>18000</v>
      </c>
      <c r="F30" s="71" t="s">
        <v>389</v>
      </c>
      <c r="G30" s="350">
        <f t="shared" ref="G30:G33" si="6">G29+1</f>
        <v>23</v>
      </c>
    </row>
    <row r="31" spans="1:7" ht="16" thickTop="1" x14ac:dyDescent="0.35">
      <c r="A31" s="263">
        <f t="shared" si="5"/>
        <v>24</v>
      </c>
      <c r="B31" s="85" t="s">
        <v>390</v>
      </c>
      <c r="C31" s="159"/>
      <c r="D31" s="36"/>
      <c r="E31" s="159"/>
      <c r="F31" s="33"/>
      <c r="G31" s="350">
        <f t="shared" si="6"/>
        <v>24</v>
      </c>
    </row>
    <row r="32" spans="1:7" ht="15.5" x14ac:dyDescent="0.35">
      <c r="A32" s="263">
        <f t="shared" si="5"/>
        <v>25</v>
      </c>
      <c r="B32" s="85"/>
      <c r="C32" s="159"/>
      <c r="D32" s="36"/>
      <c r="E32" s="159"/>
      <c r="F32" s="33"/>
      <c r="G32" s="350">
        <f t="shared" si="6"/>
        <v>25</v>
      </c>
    </row>
    <row r="33" spans="1:7" ht="16" thickBot="1" x14ac:dyDescent="0.4">
      <c r="A33" s="263">
        <f t="shared" si="5"/>
        <v>26</v>
      </c>
      <c r="B33" s="74" t="s">
        <v>391</v>
      </c>
      <c r="C33" s="192">
        <f>$E$30*$C$18</f>
        <v>9131.4</v>
      </c>
      <c r="D33" s="192">
        <f>$E$30*$D$18</f>
        <v>8868.6</v>
      </c>
      <c r="E33" s="192">
        <f>SUM(C33:D33)</f>
        <v>18000</v>
      </c>
      <c r="F33" s="33" t="s">
        <v>392</v>
      </c>
      <c r="G33" s="350">
        <f t="shared" si="6"/>
        <v>26</v>
      </c>
    </row>
    <row r="34" spans="1:7" ht="19" thickTop="1" thickBot="1" x14ac:dyDescent="0.45">
      <c r="A34" s="301">
        <f t="shared" si="5"/>
        <v>27</v>
      </c>
      <c r="B34" s="637"/>
      <c r="C34" s="799"/>
      <c r="D34" s="638"/>
      <c r="E34" s="105"/>
      <c r="F34" s="639"/>
      <c r="G34" s="464">
        <f>G33+1</f>
        <v>27</v>
      </c>
    </row>
    <row r="35" spans="1:7" ht="15.5" x14ac:dyDescent="0.35">
      <c r="A35" s="263">
        <f t="shared" si="5"/>
        <v>28</v>
      </c>
      <c r="B35" s="386" t="s">
        <v>393</v>
      </c>
      <c r="C35" s="101"/>
      <c r="D35" s="800"/>
      <c r="E35" s="633"/>
      <c r="F35" s="635"/>
      <c r="G35" s="350">
        <f>G34+1</f>
        <v>28</v>
      </c>
    </row>
    <row r="36" spans="1:7" ht="15.5" x14ac:dyDescent="0.35">
      <c r="A36" s="263">
        <f t="shared" si="5"/>
        <v>29</v>
      </c>
      <c r="B36" s="386"/>
      <c r="C36" s="101"/>
      <c r="D36" s="801"/>
      <c r="E36" s="798"/>
      <c r="F36" s="71"/>
      <c r="G36" s="350">
        <f t="shared" ref="G36:G39" si="7">G35+1</f>
        <v>29</v>
      </c>
    </row>
    <row r="37" spans="1:7" ht="29" thickBot="1" x14ac:dyDescent="0.4">
      <c r="A37" s="263">
        <f t="shared" si="5"/>
        <v>30</v>
      </c>
      <c r="B37" s="734" t="s">
        <v>513</v>
      </c>
      <c r="C37" s="101"/>
      <c r="D37" s="801"/>
      <c r="E37" s="73">
        <f>'WP 9 ETC Cost Diffs'!C34</f>
        <v>-691052.6399999999</v>
      </c>
      <c r="F37" s="71" t="s">
        <v>394</v>
      </c>
      <c r="G37" s="350">
        <f t="shared" si="7"/>
        <v>30</v>
      </c>
    </row>
    <row r="38" spans="1:7" ht="16" thickTop="1" x14ac:dyDescent="0.35">
      <c r="A38" s="263">
        <f t="shared" si="5"/>
        <v>31</v>
      </c>
      <c r="B38" s="386"/>
      <c r="C38" s="101"/>
      <c r="D38" s="801"/>
      <c r="E38" s="101"/>
      <c r="F38" s="71"/>
      <c r="G38" s="350">
        <f t="shared" si="7"/>
        <v>31</v>
      </c>
    </row>
    <row r="39" spans="1:7" ht="16" thickBot="1" x14ac:dyDescent="0.4">
      <c r="A39" s="263">
        <f t="shared" si="5"/>
        <v>32</v>
      </c>
      <c r="B39" s="74" t="s">
        <v>395</v>
      </c>
      <c r="C39" s="192">
        <f>$E$37*$C$18</f>
        <v>-350571.00427199993</v>
      </c>
      <c r="D39" s="192">
        <f>$E$37*$D$18</f>
        <v>-340481.63572799996</v>
      </c>
      <c r="E39" s="192">
        <f>SUM(C39:D39)</f>
        <v>-691052.6399999999</v>
      </c>
      <c r="F39" s="33" t="s">
        <v>396</v>
      </c>
      <c r="G39" s="350">
        <f t="shared" si="7"/>
        <v>32</v>
      </c>
    </row>
    <row r="40" spans="1:7" ht="16.5" thickTop="1" thickBot="1" x14ac:dyDescent="0.4">
      <c r="A40" s="301">
        <f>A39+1</f>
        <v>33</v>
      </c>
      <c r="B40" s="420"/>
      <c r="C40" s="799"/>
      <c r="D40" s="80"/>
      <c r="E40" s="81"/>
      <c r="F40" s="160"/>
      <c r="G40" s="464">
        <f>G39+1</f>
        <v>33</v>
      </c>
    </row>
    <row r="41" spans="1:7" ht="15.5" x14ac:dyDescent="0.35">
      <c r="A41" s="640">
        <f>A40+1</f>
        <v>34</v>
      </c>
      <c r="B41" s="632" t="s">
        <v>397</v>
      </c>
      <c r="C41" s="633"/>
      <c r="D41" s="634"/>
      <c r="E41" s="459"/>
      <c r="F41" s="456"/>
      <c r="G41" s="460">
        <f>G40+1</f>
        <v>34</v>
      </c>
    </row>
    <row r="42" spans="1:7" ht="15.5" x14ac:dyDescent="0.35">
      <c r="A42" s="187">
        <f>A41+1</f>
        <v>35</v>
      </c>
      <c r="B42" s="386"/>
      <c r="C42" s="159"/>
      <c r="D42" s="36"/>
      <c r="E42" s="457"/>
      <c r="F42" s="159"/>
      <c r="G42" s="350">
        <f>G41+1</f>
        <v>35</v>
      </c>
    </row>
    <row r="43" spans="1:7" ht="32.75" customHeight="1" thickBot="1" x14ac:dyDescent="0.4">
      <c r="A43" s="187">
        <f>A42+1</f>
        <v>36</v>
      </c>
      <c r="B43" s="734" t="s">
        <v>514</v>
      </c>
      <c r="C43" s="636"/>
      <c r="D43" s="802"/>
      <c r="E43" s="234">
        <f>'WP 12 PTO'!P17</f>
        <v>-484460.20999999996</v>
      </c>
      <c r="F43" s="71" t="s">
        <v>530</v>
      </c>
      <c r="G43" s="350">
        <f t="shared" ref="G43:G49" si="8">G42+1</f>
        <v>36</v>
      </c>
    </row>
    <row r="44" spans="1:7" ht="18" thickTop="1" x14ac:dyDescent="0.35">
      <c r="A44" s="187">
        <f t="shared" ref="A44:A48" si="9">A43+1</f>
        <v>37</v>
      </c>
      <c r="B44" s="734"/>
      <c r="C44" s="636"/>
      <c r="D44" s="802"/>
      <c r="E44" s="854"/>
      <c r="F44" s="71"/>
      <c r="G44" s="350">
        <f t="shared" si="8"/>
        <v>37</v>
      </c>
    </row>
    <row r="45" spans="1:7" ht="28.5" x14ac:dyDescent="0.35">
      <c r="A45" s="187">
        <f t="shared" si="9"/>
        <v>38</v>
      </c>
      <c r="B45" s="916" t="s">
        <v>398</v>
      </c>
      <c r="C45" s="16">
        <f>'WP 12 PTO'!P29</f>
        <v>-526832.07999999996</v>
      </c>
      <c r="D45" s="856">
        <f>'WP 12 PTO'!P30</f>
        <v>-127215.37</v>
      </c>
      <c r="E45" s="16">
        <f>SUM(C45:D45)</f>
        <v>-654047.44999999995</v>
      </c>
      <c r="F45" s="915" t="s">
        <v>399</v>
      </c>
      <c r="G45" s="350">
        <f t="shared" si="8"/>
        <v>38</v>
      </c>
    </row>
    <row r="46" spans="1:7" ht="17.5" x14ac:dyDescent="0.35">
      <c r="A46" s="187">
        <f t="shared" si="9"/>
        <v>39</v>
      </c>
      <c r="B46" s="85"/>
      <c r="C46" s="636"/>
      <c r="D46" s="802"/>
      <c r="E46" s="16"/>
      <c r="F46" s="71"/>
      <c r="G46" s="350">
        <f t="shared" si="8"/>
        <v>39</v>
      </c>
    </row>
    <row r="47" spans="1:7" ht="15.5" x14ac:dyDescent="0.35">
      <c r="A47" s="187">
        <f t="shared" si="9"/>
        <v>40</v>
      </c>
      <c r="B47" s="85" t="s">
        <v>400</v>
      </c>
      <c r="C47" s="855">
        <f>$E$47*$C$18</f>
        <v>86031.606851999997</v>
      </c>
      <c r="D47" s="855">
        <f>$E$47*$D$18</f>
        <v>83555.633147999994</v>
      </c>
      <c r="E47" s="855">
        <f>E43-E45</f>
        <v>169587.24</v>
      </c>
      <c r="F47" s="84" t="s">
        <v>401</v>
      </c>
      <c r="G47" s="350">
        <f t="shared" si="8"/>
        <v>40</v>
      </c>
    </row>
    <row r="48" spans="1:7" ht="15.5" x14ac:dyDescent="0.35">
      <c r="A48" s="187">
        <f t="shared" si="9"/>
        <v>41</v>
      </c>
      <c r="B48" s="386"/>
      <c r="C48" s="228"/>
      <c r="D48" s="686"/>
      <c r="E48" s="687"/>
      <c r="F48" s="84"/>
      <c r="G48" s="350">
        <f t="shared" si="8"/>
        <v>41</v>
      </c>
    </row>
    <row r="49" spans="1:7" ht="16" thickBot="1" x14ac:dyDescent="0.4">
      <c r="A49" s="187">
        <f t="shared" ref="A49" si="10">A48+1</f>
        <v>42</v>
      </c>
      <c r="B49" s="74" t="s">
        <v>402</v>
      </c>
      <c r="C49" s="192">
        <f>C45+C47</f>
        <v>-440800.47314799996</v>
      </c>
      <c r="D49" s="192">
        <f t="shared" ref="D49" si="11">D45+D47</f>
        <v>-43659.736852000002</v>
      </c>
      <c r="E49" s="192">
        <f>SUM(C49:D49)</f>
        <v>-484460.20999999996</v>
      </c>
      <c r="F49" s="33" t="s">
        <v>403</v>
      </c>
      <c r="G49" s="350">
        <f t="shared" si="8"/>
        <v>42</v>
      </c>
    </row>
    <row r="50" spans="1:7" ht="19" thickTop="1" thickBot="1" x14ac:dyDescent="0.45">
      <c r="A50" s="642">
        <f>A49+1</f>
        <v>43</v>
      </c>
      <c r="B50" s="637"/>
      <c r="C50" s="799"/>
      <c r="D50" s="638"/>
      <c r="E50" s="643"/>
      <c r="F50" s="644"/>
      <c r="G50" s="464">
        <f>G49+1</f>
        <v>43</v>
      </c>
    </row>
    <row r="51" spans="1:7" ht="15.5" x14ac:dyDescent="0.35">
      <c r="A51" s="187"/>
      <c r="C51" s="803"/>
      <c r="F51" s="36"/>
      <c r="G51" s="37"/>
    </row>
    <row r="52" spans="1:7" ht="15.5" x14ac:dyDescent="0.35">
      <c r="A52" s="187"/>
      <c r="C52" s="803"/>
      <c r="F52" s="36"/>
      <c r="G52" s="37"/>
    </row>
    <row r="53" spans="1:7" ht="15.5" x14ac:dyDescent="0.35">
      <c r="A53" s="187"/>
      <c r="C53" s="803"/>
      <c r="F53" s="36"/>
      <c r="G53" s="37"/>
    </row>
    <row r="54" spans="1:7" ht="15.5" x14ac:dyDescent="0.35">
      <c r="A54" s="187"/>
      <c r="C54" s="803"/>
      <c r="F54" s="36"/>
      <c r="G54" s="37"/>
    </row>
    <row r="55" spans="1:7" x14ac:dyDescent="0.3">
      <c r="A55" s="645"/>
    </row>
    <row r="56" spans="1:7" ht="18.5" x14ac:dyDescent="0.35">
      <c r="A56" s="646"/>
      <c r="B56" s="50"/>
    </row>
    <row r="57" spans="1:7" ht="18.5" x14ac:dyDescent="0.35">
      <c r="A57" s="647"/>
      <c r="B57" s="50"/>
    </row>
    <row r="58" spans="1:7" x14ac:dyDescent="0.3">
      <c r="A58" s="648"/>
    </row>
  </sheetData>
  <mergeCells count="1">
    <mergeCell ref="A3:G3"/>
  </mergeCells>
  <printOptions horizontalCentered="1"/>
  <pageMargins left="0.25" right="0.25" top="0.5" bottom="0.5" header="0.25" footer="0.25"/>
  <pageSetup scale="61" orientation="landscape" r:id="rId1"/>
  <headerFooter alignWithMargins="0">
    <oddFooter>&amp;L&amp;"Times New Roman,Regular"&amp;14&amp;F&amp;C&amp;"Times New Roman,Regular"&amp;14Page 6.1&amp;R&amp;"Times New Roman,Regular"&amp;14&amp;A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G85"/>
  <sheetViews>
    <sheetView zoomScale="80" zoomScaleNormal="80" workbookViewId="0"/>
  </sheetViews>
  <sheetFormatPr defaultColWidth="8.54296875" defaultRowHeight="15.5" x14ac:dyDescent="0.35"/>
  <cols>
    <col min="1" max="1" width="5.54296875" style="22" customWidth="1"/>
    <col min="2" max="2" width="40.54296875" style="50" customWidth="1"/>
    <col min="3" max="4" width="19.81640625" style="22" bestFit="1" customWidth="1"/>
    <col min="5" max="5" width="17.54296875" style="22" customWidth="1"/>
    <col min="6" max="6" width="41.54296875" style="22" bestFit="1" customWidth="1"/>
    <col min="7" max="7" width="5.54296875" style="22" customWidth="1"/>
    <col min="8" max="16384" width="8.54296875" style="22"/>
  </cols>
  <sheetData>
    <row r="1" spans="1:7" x14ac:dyDescent="0.35">
      <c r="A1" s="5"/>
      <c r="B1" s="41"/>
      <c r="C1" s="41"/>
      <c r="D1" s="41"/>
      <c r="E1" s="41"/>
      <c r="F1" s="41"/>
      <c r="G1" s="41"/>
    </row>
    <row r="2" spans="1:7" x14ac:dyDescent="0.35">
      <c r="A2" s="5" t="s">
        <v>1</v>
      </c>
      <c r="B2" s="41"/>
      <c r="C2" s="41"/>
      <c r="D2" s="41"/>
      <c r="E2" s="41"/>
      <c r="F2" s="41"/>
      <c r="G2" s="41"/>
    </row>
    <row r="3" spans="1:7" x14ac:dyDescent="0.35">
      <c r="A3" s="970" t="str">
        <f>'Stmnt BD - Recorded KWH'!$A$4</f>
        <v>2023 - TRBAA Rate Filing</v>
      </c>
      <c r="B3" s="970"/>
      <c r="C3" s="970"/>
      <c r="D3" s="970"/>
      <c r="E3" s="970"/>
      <c r="F3" s="970"/>
      <c r="G3" s="970"/>
    </row>
    <row r="4" spans="1:7" x14ac:dyDescent="0.35">
      <c r="A4" s="5" t="s">
        <v>404</v>
      </c>
      <c r="B4" s="41"/>
      <c r="C4" s="41"/>
      <c r="D4" s="41"/>
      <c r="E4" s="41"/>
      <c r="F4" s="41"/>
      <c r="G4" s="41"/>
    </row>
    <row r="5" spans="1:7" ht="16" thickBot="1" x14ac:dyDescent="0.4">
      <c r="A5" s="41"/>
      <c r="B5" s="41"/>
      <c r="C5" s="41"/>
      <c r="D5" s="41"/>
      <c r="E5" s="41"/>
      <c r="F5" s="41"/>
      <c r="G5" s="41"/>
    </row>
    <row r="6" spans="1:7" x14ac:dyDescent="0.35">
      <c r="A6" s="287"/>
      <c r="B6" s="589"/>
      <c r="C6" s="165" t="s">
        <v>3</v>
      </c>
      <c r="D6" s="165" t="s">
        <v>4</v>
      </c>
      <c r="E6" s="165" t="s">
        <v>114</v>
      </c>
      <c r="F6" s="165" t="s">
        <v>115</v>
      </c>
      <c r="G6" s="548"/>
    </row>
    <row r="7" spans="1:7" x14ac:dyDescent="0.35">
      <c r="A7" s="551"/>
      <c r="B7" s="74"/>
      <c r="C7" s="587" t="s">
        <v>405</v>
      </c>
      <c r="D7" s="587" t="s">
        <v>233</v>
      </c>
      <c r="E7" s="587"/>
      <c r="F7" s="587"/>
      <c r="G7" s="552"/>
    </row>
    <row r="8" spans="1:7" x14ac:dyDescent="0.35">
      <c r="A8" s="551" t="s">
        <v>8</v>
      </c>
      <c r="B8" s="75"/>
      <c r="C8" s="587" t="s">
        <v>406</v>
      </c>
      <c r="D8" s="587" t="s">
        <v>406</v>
      </c>
      <c r="E8" s="587"/>
      <c r="F8" s="587"/>
      <c r="G8" s="552" t="s">
        <v>8</v>
      </c>
    </row>
    <row r="9" spans="1:7" ht="16" thickBot="1" x14ac:dyDescent="0.4">
      <c r="A9" s="569" t="s">
        <v>407</v>
      </c>
      <c r="B9" s="338" t="s">
        <v>408</v>
      </c>
      <c r="C9" s="649" t="s">
        <v>409</v>
      </c>
      <c r="D9" s="649" t="s">
        <v>410</v>
      </c>
      <c r="E9" s="593" t="s">
        <v>18</v>
      </c>
      <c r="F9" s="593" t="s">
        <v>16</v>
      </c>
      <c r="G9" s="570" t="s">
        <v>407</v>
      </c>
    </row>
    <row r="10" spans="1:7" x14ac:dyDescent="0.35">
      <c r="A10" s="263"/>
      <c r="B10" s="770"/>
      <c r="C10" s="19"/>
      <c r="D10" s="19"/>
      <c r="E10" s="19"/>
      <c r="F10" s="19"/>
      <c r="G10" s="264"/>
    </row>
    <row r="11" spans="1:7" x14ac:dyDescent="0.35">
      <c r="A11" s="263">
        <v>1</v>
      </c>
      <c r="B11" s="478">
        <f>'Stmnt BD - Recorded KWH'!B12</f>
        <v>44470</v>
      </c>
      <c r="C11" s="19">
        <f>'WP 5 CAISO Charges'!C10</f>
        <v>-1319870.51</v>
      </c>
      <c r="D11" s="19">
        <v>0</v>
      </c>
      <c r="E11" s="19">
        <f>C11+D11</f>
        <v>-1319870.51</v>
      </c>
      <c r="F11" s="23" t="s">
        <v>411</v>
      </c>
      <c r="G11" s="264">
        <v>1</v>
      </c>
    </row>
    <row r="12" spans="1:7" x14ac:dyDescent="0.35">
      <c r="A12" s="263">
        <f>A11+1</f>
        <v>2</v>
      </c>
      <c r="B12" s="10"/>
      <c r="C12" s="19"/>
      <c r="D12" s="19"/>
      <c r="E12" s="19"/>
      <c r="F12" s="10"/>
      <c r="G12" s="264">
        <f>G11+1</f>
        <v>2</v>
      </c>
    </row>
    <row r="13" spans="1:7" x14ac:dyDescent="0.35">
      <c r="A13" s="263">
        <f t="shared" ref="A13:A37" si="0">A12+1</f>
        <v>3</v>
      </c>
      <c r="B13" s="478">
        <f>'Stmnt BD - Recorded KWH'!B13</f>
        <v>44501</v>
      </c>
      <c r="C13" s="31">
        <f>'WP 5 CAISO Charges'!D10</f>
        <v>-1227017.3299999998</v>
      </c>
      <c r="D13" s="31">
        <v>0</v>
      </c>
      <c r="E13" s="31">
        <f t="shared" ref="E13:E33" si="1">C13+D13</f>
        <v>-1227017.3299999998</v>
      </c>
      <c r="F13" s="23" t="str">
        <f>F11</f>
        <v>Work paper No. 5; Page 5.1 and 5.2; Line 4</v>
      </c>
      <c r="G13" s="264">
        <f t="shared" ref="G13:G37" si="2">G12+1</f>
        <v>3</v>
      </c>
    </row>
    <row r="14" spans="1:7" x14ac:dyDescent="0.35">
      <c r="A14" s="263">
        <f t="shared" si="0"/>
        <v>4</v>
      </c>
      <c r="B14" s="10"/>
      <c r="C14" s="31"/>
      <c r="D14" s="31"/>
      <c r="E14" s="31"/>
      <c r="F14" s="10"/>
      <c r="G14" s="264">
        <f t="shared" si="2"/>
        <v>4</v>
      </c>
    </row>
    <row r="15" spans="1:7" ht="16" thickBot="1" x14ac:dyDescent="0.4">
      <c r="A15" s="301">
        <f t="shared" si="0"/>
        <v>5</v>
      </c>
      <c r="B15" s="650">
        <f>'Stmnt BD - Recorded KWH'!B14</f>
        <v>44531</v>
      </c>
      <c r="C15" s="58">
        <f>'WP 5 CAISO Charges'!E10</f>
        <v>-1350410.17</v>
      </c>
      <c r="D15" s="58">
        <v>0</v>
      </c>
      <c r="E15" s="58">
        <f t="shared" si="1"/>
        <v>-1350410.17</v>
      </c>
      <c r="F15" s="651" t="str">
        <f>F11</f>
        <v>Work paper No. 5; Page 5.1 and 5.2; Line 4</v>
      </c>
      <c r="G15" s="302">
        <f t="shared" si="2"/>
        <v>5</v>
      </c>
    </row>
    <row r="16" spans="1:7" x14ac:dyDescent="0.35">
      <c r="A16" s="263">
        <f t="shared" si="0"/>
        <v>6</v>
      </c>
      <c r="B16" s="478"/>
      <c r="C16" s="31"/>
      <c r="D16" s="31"/>
      <c r="E16" s="31"/>
      <c r="F16" s="23"/>
      <c r="G16" s="264">
        <f t="shared" si="2"/>
        <v>6</v>
      </c>
    </row>
    <row r="17" spans="1:7" x14ac:dyDescent="0.35">
      <c r="A17" s="263">
        <f t="shared" si="0"/>
        <v>7</v>
      </c>
      <c r="B17" s="478">
        <f>'Stmnt BD - Recorded KWH'!B15</f>
        <v>44562</v>
      </c>
      <c r="C17" s="31">
        <f>'WP 5 CAISO Charges'!F10</f>
        <v>-755732.45000000007</v>
      </c>
      <c r="D17" s="31">
        <v>0</v>
      </c>
      <c r="E17" s="31">
        <f t="shared" si="1"/>
        <v>-755732.45000000007</v>
      </c>
      <c r="F17" s="23" t="str">
        <f>F11</f>
        <v>Work paper No. 5; Page 5.1 and 5.2; Line 4</v>
      </c>
      <c r="G17" s="264">
        <f t="shared" si="2"/>
        <v>7</v>
      </c>
    </row>
    <row r="18" spans="1:7" x14ac:dyDescent="0.35">
      <c r="A18" s="263">
        <f t="shared" si="0"/>
        <v>8</v>
      </c>
      <c r="B18" s="10"/>
      <c r="C18" s="19"/>
      <c r="D18" s="19"/>
      <c r="E18" s="31"/>
      <c r="F18" s="10"/>
      <c r="G18" s="264">
        <f t="shared" si="2"/>
        <v>8</v>
      </c>
    </row>
    <row r="19" spans="1:7" x14ac:dyDescent="0.35">
      <c r="A19" s="263">
        <f t="shared" si="0"/>
        <v>9</v>
      </c>
      <c r="B19" s="478">
        <f>'Stmnt BD - Recorded KWH'!B16</f>
        <v>44593</v>
      </c>
      <c r="C19" s="31">
        <f>'WP 5 CAISO Charges'!G10</f>
        <v>-790404.02</v>
      </c>
      <c r="D19" s="31">
        <v>0</v>
      </c>
      <c r="E19" s="31">
        <f t="shared" si="1"/>
        <v>-790404.02</v>
      </c>
      <c r="F19" s="23" t="str">
        <f>F11</f>
        <v>Work paper No. 5; Page 5.1 and 5.2; Line 4</v>
      </c>
      <c r="G19" s="264">
        <f t="shared" si="2"/>
        <v>9</v>
      </c>
    </row>
    <row r="20" spans="1:7" x14ac:dyDescent="0.35">
      <c r="A20" s="263">
        <f t="shared" si="0"/>
        <v>10</v>
      </c>
      <c r="B20" s="10"/>
      <c r="C20" s="31"/>
      <c r="D20" s="31"/>
      <c r="E20" s="31"/>
      <c r="F20" s="10"/>
      <c r="G20" s="264">
        <f t="shared" si="2"/>
        <v>10</v>
      </c>
    </row>
    <row r="21" spans="1:7" ht="16" thickBot="1" x14ac:dyDescent="0.4">
      <c r="A21" s="301">
        <f t="shared" si="0"/>
        <v>11</v>
      </c>
      <c r="B21" s="650">
        <f>'Stmnt BD - Recorded KWH'!B17</f>
        <v>44621</v>
      </c>
      <c r="C21" s="58">
        <f>'WP 5 CAISO Charges'!H10</f>
        <v>-832517.15</v>
      </c>
      <c r="D21" s="58">
        <v>0</v>
      </c>
      <c r="E21" s="58">
        <f t="shared" si="1"/>
        <v>-832517.15</v>
      </c>
      <c r="F21" s="651" t="str">
        <f>F11</f>
        <v>Work paper No. 5; Page 5.1 and 5.2; Line 4</v>
      </c>
      <c r="G21" s="302">
        <f t="shared" si="2"/>
        <v>11</v>
      </c>
    </row>
    <row r="22" spans="1:7" x14ac:dyDescent="0.35">
      <c r="A22" s="263">
        <f t="shared" si="0"/>
        <v>12</v>
      </c>
      <c r="B22" s="10"/>
      <c r="C22" s="31"/>
      <c r="D22" s="31"/>
      <c r="E22" s="31"/>
      <c r="F22" s="10"/>
      <c r="G22" s="264">
        <f t="shared" si="2"/>
        <v>12</v>
      </c>
    </row>
    <row r="23" spans="1:7" x14ac:dyDescent="0.35">
      <c r="A23" s="263">
        <f t="shared" si="0"/>
        <v>13</v>
      </c>
      <c r="B23" s="478">
        <f>'Stmnt BD - Recorded KWH'!B18</f>
        <v>44652</v>
      </c>
      <c r="C23" s="31">
        <f>'WP 5 CAISO Charges'!I10</f>
        <v>-2231213.08</v>
      </c>
      <c r="D23" s="31">
        <v>0</v>
      </c>
      <c r="E23" s="31">
        <f t="shared" si="1"/>
        <v>-2231213.08</v>
      </c>
      <c r="F23" s="23" t="str">
        <f>F11</f>
        <v>Work paper No. 5; Page 5.1 and 5.2; Line 4</v>
      </c>
      <c r="G23" s="264">
        <f t="shared" si="2"/>
        <v>13</v>
      </c>
    </row>
    <row r="24" spans="1:7" x14ac:dyDescent="0.35">
      <c r="A24" s="263">
        <f t="shared" si="0"/>
        <v>14</v>
      </c>
      <c r="B24" s="10"/>
      <c r="C24" s="19"/>
      <c r="D24" s="19"/>
      <c r="E24" s="31"/>
      <c r="F24" s="10"/>
      <c r="G24" s="264">
        <f t="shared" si="2"/>
        <v>14</v>
      </c>
    </row>
    <row r="25" spans="1:7" x14ac:dyDescent="0.35">
      <c r="A25" s="263">
        <f t="shared" si="0"/>
        <v>15</v>
      </c>
      <c r="B25" s="478">
        <f>'Stmnt BD - Recorded KWH'!B19</f>
        <v>44682</v>
      </c>
      <c r="C25" s="31">
        <f>'WP 5 CAISO Charges'!J10</f>
        <v>-2969610.02</v>
      </c>
      <c r="D25" s="31">
        <v>0</v>
      </c>
      <c r="E25" s="31">
        <f t="shared" si="1"/>
        <v>-2969610.02</v>
      </c>
      <c r="F25" s="23" t="str">
        <f>F11</f>
        <v>Work paper No. 5; Page 5.1 and 5.2; Line 4</v>
      </c>
      <c r="G25" s="264">
        <f t="shared" si="2"/>
        <v>15</v>
      </c>
    </row>
    <row r="26" spans="1:7" x14ac:dyDescent="0.35">
      <c r="A26" s="263">
        <f t="shared" si="0"/>
        <v>16</v>
      </c>
      <c r="B26" s="10"/>
      <c r="C26" s="31"/>
      <c r="D26" s="31"/>
      <c r="E26" s="31"/>
      <c r="F26" s="10"/>
      <c r="G26" s="264">
        <f t="shared" si="2"/>
        <v>16</v>
      </c>
    </row>
    <row r="27" spans="1:7" ht="16" thickBot="1" x14ac:dyDescent="0.4">
      <c r="A27" s="301">
        <f t="shared" si="0"/>
        <v>17</v>
      </c>
      <c r="B27" s="650">
        <f>'Stmnt BD - Recorded KWH'!B20</f>
        <v>44713</v>
      </c>
      <c r="C27" s="58">
        <f>'WP 5 CAISO Charges'!K10</f>
        <v>-4504342.63</v>
      </c>
      <c r="D27" s="58">
        <v>0</v>
      </c>
      <c r="E27" s="58">
        <f t="shared" si="1"/>
        <v>-4504342.63</v>
      </c>
      <c r="F27" s="651" t="str">
        <f>F11</f>
        <v>Work paper No. 5; Page 5.1 and 5.2; Line 4</v>
      </c>
      <c r="G27" s="302">
        <f t="shared" si="2"/>
        <v>17</v>
      </c>
    </row>
    <row r="28" spans="1:7" x14ac:dyDescent="0.35">
      <c r="A28" s="263">
        <f t="shared" si="0"/>
        <v>18</v>
      </c>
      <c r="B28" s="10"/>
      <c r="C28" s="31"/>
      <c r="D28" s="31"/>
      <c r="E28" s="31"/>
      <c r="F28" s="10"/>
      <c r="G28" s="264">
        <f t="shared" si="2"/>
        <v>18</v>
      </c>
    </row>
    <row r="29" spans="1:7" x14ac:dyDescent="0.35">
      <c r="A29" s="263">
        <f t="shared" si="0"/>
        <v>19</v>
      </c>
      <c r="B29" s="478">
        <f>'Stmnt BD - Recorded KWH'!B21</f>
        <v>44743</v>
      </c>
      <c r="C29" s="31">
        <f>'WP 5 CAISO Charges'!L10</f>
        <v>-3953818.65</v>
      </c>
      <c r="D29" s="31">
        <v>0</v>
      </c>
      <c r="E29" s="31">
        <f t="shared" si="1"/>
        <v>-3953818.65</v>
      </c>
      <c r="F29" s="23" t="str">
        <f>F11</f>
        <v>Work paper No. 5; Page 5.1 and 5.2; Line 4</v>
      </c>
      <c r="G29" s="264">
        <f t="shared" si="2"/>
        <v>19</v>
      </c>
    </row>
    <row r="30" spans="1:7" x14ac:dyDescent="0.35">
      <c r="A30" s="263">
        <f t="shared" si="0"/>
        <v>20</v>
      </c>
      <c r="B30" s="10"/>
      <c r="C30" s="19"/>
      <c r="D30" s="19"/>
      <c r="E30" s="31"/>
      <c r="F30" s="10"/>
      <c r="G30" s="264">
        <f t="shared" si="2"/>
        <v>20</v>
      </c>
    </row>
    <row r="31" spans="1:7" x14ac:dyDescent="0.35">
      <c r="A31" s="263">
        <f t="shared" si="0"/>
        <v>21</v>
      </c>
      <c r="B31" s="478">
        <f>'Stmnt BD - Recorded KWH'!B22</f>
        <v>44774</v>
      </c>
      <c r="C31" s="31">
        <f>'WP 5 CAISO Charges'!M10</f>
        <v>-5217612.79</v>
      </c>
      <c r="D31" s="31">
        <v>0</v>
      </c>
      <c r="E31" s="31">
        <f t="shared" si="1"/>
        <v>-5217612.79</v>
      </c>
      <c r="F31" s="23" t="str">
        <f>F11</f>
        <v>Work paper No. 5; Page 5.1 and 5.2; Line 4</v>
      </c>
      <c r="G31" s="264">
        <f t="shared" si="2"/>
        <v>21</v>
      </c>
    </row>
    <row r="32" spans="1:7" x14ac:dyDescent="0.35">
      <c r="A32" s="263">
        <f t="shared" si="0"/>
        <v>22</v>
      </c>
      <c r="B32" s="10"/>
      <c r="C32" s="31"/>
      <c r="D32" s="31"/>
      <c r="E32" s="31"/>
      <c r="F32" s="10"/>
      <c r="G32" s="264">
        <f t="shared" si="2"/>
        <v>22</v>
      </c>
    </row>
    <row r="33" spans="1:7" ht="16" thickBot="1" x14ac:dyDescent="0.4">
      <c r="A33" s="301">
        <f t="shared" si="0"/>
        <v>23</v>
      </c>
      <c r="B33" s="650">
        <f>'Stmnt BD - Recorded KWH'!B23</f>
        <v>44805</v>
      </c>
      <c r="C33" s="58">
        <f>'WP 5 CAISO Charges'!N10</f>
        <v>-4194330.0799999991</v>
      </c>
      <c r="D33" s="58">
        <v>0</v>
      </c>
      <c r="E33" s="82">
        <f t="shared" si="1"/>
        <v>-4194330.0799999991</v>
      </c>
      <c r="F33" s="651" t="str">
        <f>F11</f>
        <v>Work paper No. 5; Page 5.1 and 5.2; Line 4</v>
      </c>
      <c r="G33" s="302">
        <f t="shared" si="2"/>
        <v>23</v>
      </c>
    </row>
    <row r="34" spans="1:7" x14ac:dyDescent="0.35">
      <c r="A34" s="263">
        <f t="shared" si="0"/>
        <v>24</v>
      </c>
      <c r="B34" s="10"/>
      <c r="C34" s="19"/>
      <c r="D34" s="19"/>
      <c r="E34" s="19"/>
      <c r="F34" s="10"/>
      <c r="G34" s="264">
        <f t="shared" si="2"/>
        <v>24</v>
      </c>
    </row>
    <row r="35" spans="1:7" ht="16" thickBot="1" x14ac:dyDescent="0.4">
      <c r="A35" s="263">
        <f t="shared" si="0"/>
        <v>25</v>
      </c>
      <c r="B35" s="75" t="s">
        <v>412</v>
      </c>
      <c r="C35" s="73">
        <f>SUM(C11:C33)</f>
        <v>-29346878.879999995</v>
      </c>
      <c r="D35" s="529">
        <f>SUM(D11:D33)</f>
        <v>0</v>
      </c>
      <c r="E35" s="73">
        <f>SUM(E11:E33)</f>
        <v>-29346878.879999995</v>
      </c>
      <c r="F35" s="29" t="s">
        <v>413</v>
      </c>
      <c r="G35" s="264">
        <f t="shared" si="2"/>
        <v>25</v>
      </c>
    </row>
    <row r="36" spans="1:7" ht="16" thickTop="1" x14ac:dyDescent="0.35">
      <c r="A36" s="263">
        <f t="shared" si="0"/>
        <v>26</v>
      </c>
      <c r="B36" s="75"/>
      <c r="C36" s="795"/>
      <c r="D36" s="661"/>
      <c r="E36" s="641"/>
      <c r="F36" s="23"/>
      <c r="G36" s="264">
        <f t="shared" si="2"/>
        <v>26</v>
      </c>
    </row>
    <row r="37" spans="1:7" ht="16" thickBot="1" x14ac:dyDescent="0.4">
      <c r="A37" s="263">
        <f t="shared" si="0"/>
        <v>27</v>
      </c>
      <c r="B37" s="75" t="s">
        <v>414</v>
      </c>
      <c r="C37" s="154">
        <f>C35</f>
        <v>-29346878.879999995</v>
      </c>
      <c r="D37" s="73">
        <f>D35</f>
        <v>0</v>
      </c>
      <c r="E37" s="660">
        <f>E35</f>
        <v>-29346878.879999995</v>
      </c>
      <c r="F37" s="29" t="s">
        <v>415</v>
      </c>
      <c r="G37" s="264">
        <f t="shared" si="2"/>
        <v>27</v>
      </c>
    </row>
    <row r="38" spans="1:7" ht="16.5" thickTop="1" thickBot="1" x14ac:dyDescent="0.4">
      <c r="A38" s="301">
        <f>A37+1</f>
        <v>28</v>
      </c>
      <c r="B38" s="561"/>
      <c r="C38" s="662"/>
      <c r="D38" s="652"/>
      <c r="E38" s="653"/>
      <c r="F38" s="57"/>
      <c r="G38" s="302">
        <f>G37+1</f>
        <v>28</v>
      </c>
    </row>
    <row r="39" spans="1:7" hidden="1" x14ac:dyDescent="0.35">
      <c r="A39" s="10"/>
      <c r="B39" s="22"/>
      <c r="G39" s="10"/>
    </row>
    <row r="40" spans="1:7" ht="16" hidden="1" thickBot="1" x14ac:dyDescent="0.4">
      <c r="A40" s="57"/>
      <c r="B40" s="80"/>
      <c r="C40" s="80"/>
      <c r="D40" s="80"/>
      <c r="E40" s="604"/>
      <c r="F40" s="80"/>
      <c r="G40" s="57"/>
    </row>
    <row r="41" spans="1:7" x14ac:dyDescent="0.35">
      <c r="A41" s="37"/>
      <c r="B41" s="156"/>
      <c r="C41" s="654"/>
      <c r="D41" s="654"/>
      <c r="E41" s="37"/>
      <c r="F41" s="37"/>
      <c r="G41" s="37"/>
    </row>
    <row r="42" spans="1:7" x14ac:dyDescent="0.35">
      <c r="A42" s="37"/>
      <c r="B42" s="68"/>
      <c r="C42" s="90"/>
      <c r="D42" s="90"/>
      <c r="E42" s="90"/>
      <c r="F42" s="37"/>
      <c r="G42" s="37"/>
    </row>
    <row r="43" spans="1:7" x14ac:dyDescent="0.35">
      <c r="A43" s="37"/>
      <c r="C43" s="72"/>
      <c r="D43" s="72"/>
      <c r="E43" s="37"/>
      <c r="F43" s="37"/>
      <c r="G43" s="37"/>
    </row>
    <row r="44" spans="1:7" x14ac:dyDescent="0.35">
      <c r="A44" s="37"/>
      <c r="C44" s="28"/>
      <c r="D44" s="435"/>
      <c r="E44" s="37"/>
      <c r="F44" s="37"/>
      <c r="G44" s="37"/>
    </row>
    <row r="45" spans="1:7" x14ac:dyDescent="0.35">
      <c r="A45" s="37"/>
      <c r="C45" s="72"/>
      <c r="D45" s="90"/>
      <c r="E45" s="37"/>
      <c r="F45" s="37"/>
      <c r="G45" s="37"/>
    </row>
    <row r="46" spans="1:7" x14ac:dyDescent="0.35">
      <c r="A46" s="37"/>
      <c r="C46" s="435"/>
      <c r="D46" s="435"/>
      <c r="E46" s="37"/>
      <c r="F46" s="37"/>
      <c r="G46" s="37"/>
    </row>
    <row r="47" spans="1:7" x14ac:dyDescent="0.35">
      <c r="A47" s="37"/>
      <c r="B47" s="68"/>
      <c r="C47" s="37"/>
      <c r="D47" s="37"/>
      <c r="E47" s="37"/>
      <c r="F47" s="37"/>
      <c r="G47" s="37"/>
    </row>
    <row r="48" spans="1:7" x14ac:dyDescent="0.35">
      <c r="A48" s="37"/>
      <c r="B48" s="68"/>
      <c r="C48" s="37"/>
      <c r="D48" s="37"/>
      <c r="E48" s="37"/>
      <c r="F48" s="37"/>
      <c r="G48" s="37"/>
    </row>
    <row r="49" spans="1:7" x14ac:dyDescent="0.35">
      <c r="A49" s="37"/>
      <c r="C49" s="655"/>
      <c r="D49" s="655"/>
      <c r="E49" s="37"/>
      <c r="F49" s="37"/>
      <c r="G49" s="37"/>
    </row>
    <row r="50" spans="1:7" x14ac:dyDescent="0.35">
      <c r="A50" s="37"/>
      <c r="C50" s="656"/>
      <c r="D50" s="656"/>
      <c r="E50" s="37"/>
      <c r="F50" s="37"/>
      <c r="G50" s="37"/>
    </row>
    <row r="51" spans="1:7" x14ac:dyDescent="0.35">
      <c r="A51" s="37"/>
      <c r="C51" s="657"/>
      <c r="D51" s="657"/>
      <c r="E51" s="37"/>
      <c r="F51" s="37"/>
      <c r="G51" s="37"/>
    </row>
    <row r="52" spans="1:7" x14ac:dyDescent="0.35">
      <c r="A52" s="37"/>
      <c r="B52" s="68"/>
      <c r="C52" s="435"/>
      <c r="D52" s="435"/>
      <c r="E52" s="37"/>
      <c r="F52" s="37"/>
      <c r="G52" s="37"/>
    </row>
    <row r="53" spans="1:7" x14ac:dyDescent="0.35">
      <c r="A53" s="37"/>
      <c r="B53" s="68"/>
      <c r="C53" s="37"/>
      <c r="D53" s="37"/>
      <c r="E53" s="37"/>
      <c r="F53" s="37"/>
      <c r="G53" s="37"/>
    </row>
    <row r="54" spans="1:7" x14ac:dyDescent="0.35">
      <c r="A54" s="37"/>
      <c r="C54" s="655"/>
      <c r="D54" s="655"/>
      <c r="E54" s="37"/>
      <c r="F54" s="37"/>
      <c r="G54" s="37"/>
    </row>
    <row r="55" spans="1:7" x14ac:dyDescent="0.35">
      <c r="A55" s="37"/>
      <c r="C55" s="656"/>
      <c r="D55" s="656"/>
      <c r="E55" s="37"/>
      <c r="F55" s="37"/>
      <c r="G55" s="37"/>
    </row>
    <row r="56" spans="1:7" x14ac:dyDescent="0.35">
      <c r="A56" s="37"/>
      <c r="C56" s="657"/>
      <c r="D56" s="657"/>
      <c r="E56" s="37"/>
      <c r="F56" s="37"/>
      <c r="G56" s="37"/>
    </row>
    <row r="57" spans="1:7" x14ac:dyDescent="0.35">
      <c r="A57" s="37"/>
      <c r="B57" s="68"/>
      <c r="C57" s="435"/>
      <c r="D57" s="435"/>
      <c r="E57" s="37"/>
      <c r="F57" s="37"/>
      <c r="G57" s="37"/>
    </row>
    <row r="58" spans="1:7" x14ac:dyDescent="0.35">
      <c r="A58" s="37"/>
      <c r="B58" s="68"/>
      <c r="C58" s="435"/>
      <c r="D58" s="435"/>
      <c r="E58" s="37"/>
      <c r="F58" s="37"/>
      <c r="G58" s="37"/>
    </row>
    <row r="59" spans="1:7" x14ac:dyDescent="0.35">
      <c r="A59" s="37"/>
      <c r="B59" s="68"/>
      <c r="C59" s="658"/>
      <c r="D59" s="658"/>
      <c r="E59" s="37"/>
      <c r="F59" s="37"/>
      <c r="G59" s="37"/>
    </row>
    <row r="60" spans="1:7" x14ac:dyDescent="0.35">
      <c r="A60" s="37"/>
      <c r="E60" s="37"/>
      <c r="F60" s="37"/>
      <c r="G60" s="37"/>
    </row>
    <row r="61" spans="1:7" x14ac:dyDescent="0.35">
      <c r="A61" s="37"/>
      <c r="B61" s="22"/>
      <c r="G61" s="37"/>
    </row>
    <row r="62" spans="1:7" x14ac:dyDescent="0.35">
      <c r="A62" s="37"/>
      <c r="B62" s="22"/>
      <c r="E62" s="90"/>
      <c r="G62" s="37"/>
    </row>
    <row r="63" spans="1:7" x14ac:dyDescent="0.35">
      <c r="A63" s="37"/>
      <c r="B63" s="156"/>
      <c r="E63" s="37"/>
      <c r="F63" s="37"/>
      <c r="G63" s="37"/>
    </row>
    <row r="64" spans="1:7" x14ac:dyDescent="0.35">
      <c r="A64" s="37"/>
      <c r="D64" s="659"/>
      <c r="E64" s="37"/>
      <c r="F64" s="37"/>
      <c r="G64" s="37"/>
    </row>
    <row r="65" spans="1:7" x14ac:dyDescent="0.35">
      <c r="A65" s="37"/>
      <c r="B65" s="92"/>
      <c r="E65" s="90"/>
      <c r="F65" s="37"/>
      <c r="G65" s="37"/>
    </row>
    <row r="66" spans="1:7" x14ac:dyDescent="0.35">
      <c r="A66" s="37"/>
      <c r="B66" s="156"/>
      <c r="C66" s="654"/>
      <c r="D66" s="654"/>
      <c r="E66" s="37"/>
      <c r="F66" s="37"/>
      <c r="G66" s="37"/>
    </row>
    <row r="67" spans="1:7" x14ac:dyDescent="0.35">
      <c r="A67" s="37"/>
      <c r="B67" s="68"/>
      <c r="C67" s="90"/>
      <c r="D67" s="90"/>
      <c r="E67" s="37"/>
      <c r="F67" s="37"/>
      <c r="G67" s="37"/>
    </row>
    <row r="68" spans="1:7" x14ac:dyDescent="0.35">
      <c r="A68" s="37"/>
      <c r="C68" s="72"/>
      <c r="D68" s="72"/>
      <c r="E68" s="37"/>
      <c r="F68" s="37"/>
      <c r="G68" s="37"/>
    </row>
    <row r="69" spans="1:7" x14ac:dyDescent="0.35">
      <c r="A69" s="37"/>
      <c r="C69" s="28"/>
      <c r="D69" s="435"/>
      <c r="E69" s="37"/>
      <c r="F69" s="37"/>
      <c r="G69" s="37"/>
    </row>
    <row r="70" spans="1:7" x14ac:dyDescent="0.35">
      <c r="A70" s="37"/>
      <c r="C70" s="72"/>
      <c r="D70" s="90"/>
      <c r="E70" s="37"/>
      <c r="F70" s="37"/>
      <c r="G70" s="37"/>
    </row>
    <row r="71" spans="1:7" x14ac:dyDescent="0.35">
      <c r="A71" s="37"/>
      <c r="C71" s="435"/>
      <c r="D71" s="435"/>
      <c r="E71" s="37"/>
      <c r="F71" s="37"/>
      <c r="G71" s="37"/>
    </row>
    <row r="72" spans="1:7" x14ac:dyDescent="0.35">
      <c r="A72" s="37"/>
      <c r="B72" s="68"/>
      <c r="C72" s="37"/>
      <c r="D72" s="37"/>
      <c r="E72" s="37"/>
      <c r="F72" s="37"/>
      <c r="G72" s="37"/>
    </row>
    <row r="73" spans="1:7" x14ac:dyDescent="0.35">
      <c r="A73" s="37"/>
      <c r="B73" s="68"/>
      <c r="C73" s="37"/>
      <c r="D73" s="37"/>
      <c r="E73" s="37"/>
      <c r="F73" s="37"/>
      <c r="G73" s="37"/>
    </row>
    <row r="74" spans="1:7" x14ac:dyDescent="0.35">
      <c r="A74" s="37"/>
      <c r="C74" s="655"/>
      <c r="D74" s="655"/>
      <c r="E74" s="37"/>
      <c r="F74" s="37"/>
      <c r="G74" s="37"/>
    </row>
    <row r="75" spans="1:7" x14ac:dyDescent="0.35">
      <c r="A75" s="37"/>
      <c r="C75" s="656"/>
      <c r="D75" s="656"/>
      <c r="E75" s="37"/>
      <c r="F75" s="37"/>
      <c r="G75" s="37"/>
    </row>
    <row r="76" spans="1:7" x14ac:dyDescent="0.35">
      <c r="A76" s="37"/>
      <c r="C76" s="657"/>
      <c r="D76" s="657"/>
      <c r="E76" s="37"/>
      <c r="F76" s="37"/>
      <c r="G76" s="37"/>
    </row>
    <row r="77" spans="1:7" x14ac:dyDescent="0.35">
      <c r="A77" s="37"/>
      <c r="B77" s="68"/>
      <c r="C77" s="435"/>
      <c r="D77" s="435"/>
      <c r="E77" s="37"/>
      <c r="F77" s="37"/>
      <c r="G77" s="37"/>
    </row>
    <row r="78" spans="1:7" x14ac:dyDescent="0.35">
      <c r="A78" s="37"/>
      <c r="B78" s="68"/>
      <c r="C78" s="37"/>
      <c r="D78" s="37"/>
      <c r="E78" s="37"/>
      <c r="F78" s="37"/>
      <c r="G78" s="37"/>
    </row>
    <row r="79" spans="1:7" x14ac:dyDescent="0.35">
      <c r="A79" s="37"/>
      <c r="C79" s="655"/>
      <c r="D79" s="655"/>
      <c r="E79" s="37"/>
      <c r="F79" s="37"/>
      <c r="G79" s="37"/>
    </row>
    <row r="80" spans="1:7" x14ac:dyDescent="0.35">
      <c r="A80" s="37"/>
      <c r="C80" s="656"/>
      <c r="D80" s="656"/>
      <c r="E80" s="37"/>
      <c r="F80" s="37"/>
      <c r="G80" s="37"/>
    </row>
    <row r="81" spans="1:7" x14ac:dyDescent="0.35">
      <c r="A81" s="37"/>
      <c r="C81" s="657"/>
      <c r="D81" s="657"/>
      <c r="E81" s="37"/>
      <c r="F81" s="37"/>
      <c r="G81" s="37"/>
    </row>
    <row r="82" spans="1:7" x14ac:dyDescent="0.35">
      <c r="A82" s="37"/>
      <c r="B82" s="68"/>
      <c r="C82" s="435"/>
      <c r="D82" s="435"/>
      <c r="E82" s="37"/>
      <c r="F82" s="37"/>
      <c r="G82" s="37"/>
    </row>
    <row r="83" spans="1:7" x14ac:dyDescent="0.35">
      <c r="A83" s="37"/>
      <c r="B83" s="68"/>
      <c r="C83" s="435"/>
      <c r="D83" s="435"/>
      <c r="E83" s="37"/>
      <c r="F83" s="37"/>
      <c r="G83" s="37"/>
    </row>
    <row r="84" spans="1:7" x14ac:dyDescent="0.35">
      <c r="A84" s="37"/>
      <c r="B84" s="68"/>
      <c r="C84" s="658"/>
      <c r="D84" s="658"/>
      <c r="E84" s="37"/>
      <c r="F84" s="37"/>
      <c r="G84" s="37"/>
    </row>
    <row r="85" spans="1:7" x14ac:dyDescent="0.35">
      <c r="A85" s="37"/>
      <c r="E85" s="37"/>
      <c r="F85" s="37"/>
      <c r="G85" s="37"/>
    </row>
  </sheetData>
  <mergeCells count="1">
    <mergeCell ref="A3:G3"/>
  </mergeCells>
  <phoneticPr fontId="15" type="noConversion"/>
  <printOptions horizontalCentered="1"/>
  <pageMargins left="0.25" right="0.25" top="0.5" bottom="0.5" header="0.25" footer="0.25"/>
  <pageSetup scale="90" orientation="landscape" r:id="rId1"/>
  <headerFooter alignWithMargins="0">
    <oddFooter>&amp;L&amp;"Times New Roman,Regular"&amp;12&amp;F&amp;C&amp;"Times New Roman,Regular"&amp;12Page 7.1&amp;R&amp;"Times New Roman,Regular"&amp;12&amp;A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2:G43"/>
  <sheetViews>
    <sheetView zoomScale="80" zoomScaleNormal="80" workbookViewId="0"/>
  </sheetViews>
  <sheetFormatPr defaultColWidth="9.453125" defaultRowHeight="15.5" x14ac:dyDescent="0.35"/>
  <cols>
    <col min="1" max="1" width="5.54296875" style="107" customWidth="1"/>
    <col min="2" max="2" width="55.26953125" style="111" customWidth="1"/>
    <col min="3" max="3" width="25.54296875" style="112" customWidth="1"/>
    <col min="4" max="4" width="46.90625" style="107" customWidth="1"/>
    <col min="5" max="5" width="5.54296875" style="107" customWidth="1"/>
    <col min="6" max="6" width="2.453125" style="107" bestFit="1" customWidth="1"/>
    <col min="7" max="16384" width="9.453125" style="107"/>
  </cols>
  <sheetData>
    <row r="2" spans="1:7" ht="15.75" customHeight="1" x14ac:dyDescent="0.35">
      <c r="A2" s="970" t="s">
        <v>1</v>
      </c>
      <c r="B2" s="970"/>
      <c r="C2" s="970"/>
      <c r="D2" s="970"/>
      <c r="E2" s="970"/>
      <c r="F2" s="663"/>
      <c r="G2" s="663"/>
    </row>
    <row r="3" spans="1:7" ht="15.75" customHeight="1" x14ac:dyDescent="0.35">
      <c r="A3" s="970" t="str">
        <f>'WP 7 Wheeling Revenues'!A3:G3</f>
        <v>2023 - TRBAA Rate Filing</v>
      </c>
      <c r="B3" s="970"/>
      <c r="C3" s="970"/>
      <c r="D3" s="970"/>
      <c r="E3" s="970"/>
      <c r="F3" s="664"/>
      <c r="G3" s="664"/>
    </row>
    <row r="4" spans="1:7" ht="15.75" customHeight="1" x14ac:dyDescent="0.35">
      <c r="A4" s="970" t="s">
        <v>416</v>
      </c>
      <c r="B4" s="970"/>
      <c r="C4" s="970"/>
      <c r="D4" s="970"/>
      <c r="E4" s="970"/>
      <c r="F4" s="663"/>
      <c r="G4" s="663"/>
    </row>
    <row r="5" spans="1:7" ht="16.5" customHeight="1" thickBot="1" x14ac:dyDescent="0.4">
      <c r="A5" s="339"/>
      <c r="B5" s="665"/>
      <c r="C5" s="666"/>
      <c r="D5" s="666"/>
      <c r="E5" s="339"/>
    </row>
    <row r="6" spans="1:7" ht="45.5" thickBot="1" x14ac:dyDescent="0.4">
      <c r="A6" s="667" t="s">
        <v>70</v>
      </c>
      <c r="B6" s="338" t="s">
        <v>408</v>
      </c>
      <c r="C6" s="668" t="s">
        <v>417</v>
      </c>
      <c r="D6" s="593" t="s">
        <v>16</v>
      </c>
      <c r="E6" s="669" t="s">
        <v>70</v>
      </c>
    </row>
    <row r="7" spans="1:7" x14ac:dyDescent="0.35">
      <c r="A7" s="670"/>
      <c r="B7" s="794"/>
      <c r="C7" s="671"/>
      <c r="D7" s="10"/>
      <c r="E7" s="672"/>
    </row>
    <row r="8" spans="1:7" x14ac:dyDescent="0.35">
      <c r="A8" s="335">
        <v>1</v>
      </c>
      <c r="B8" s="108">
        <f>'WP 7 Wheeling Revenues'!B11</f>
        <v>44470</v>
      </c>
      <c r="C8" s="19">
        <f>'WP 5 CAISO Charges'!C13</f>
        <v>1500</v>
      </c>
      <c r="D8" s="23" t="s">
        <v>418</v>
      </c>
      <c r="E8" s="336">
        <v>1</v>
      </c>
      <c r="F8" s="790"/>
    </row>
    <row r="9" spans="1:7" x14ac:dyDescent="0.35">
      <c r="A9" s="335">
        <f>A8+1</f>
        <v>2</v>
      </c>
      <c r="B9" s="108"/>
      <c r="C9" s="19"/>
      <c r="D9" s="10"/>
      <c r="E9" s="336">
        <f>A9</f>
        <v>2</v>
      </c>
      <c r="F9" s="790"/>
    </row>
    <row r="10" spans="1:7" x14ac:dyDescent="0.35">
      <c r="A10" s="335">
        <f t="shared" ref="A10:A35" si="0">A9+1</f>
        <v>3</v>
      </c>
      <c r="B10" s="108">
        <f>'WP 7 Wheeling Revenues'!B13</f>
        <v>44501</v>
      </c>
      <c r="C10" s="31">
        <f>'WP 5 CAISO Charges'!D13</f>
        <v>1500</v>
      </c>
      <c r="D10" s="23" t="str">
        <f>D8</f>
        <v>Work paper No. 5; Page 5.1 and 5.2; Line 7</v>
      </c>
      <c r="E10" s="336">
        <f t="shared" ref="E10:E34" si="1">A10</f>
        <v>3</v>
      </c>
    </row>
    <row r="11" spans="1:7" x14ac:dyDescent="0.35">
      <c r="A11" s="335">
        <f t="shared" si="0"/>
        <v>4</v>
      </c>
      <c r="B11" s="108"/>
      <c r="C11" s="31"/>
      <c r="D11" s="10"/>
      <c r="E11" s="336">
        <f t="shared" si="1"/>
        <v>4</v>
      </c>
    </row>
    <row r="12" spans="1:7" ht="16" thickBot="1" x14ac:dyDescent="0.4">
      <c r="A12" s="337">
        <f t="shared" si="0"/>
        <v>5</v>
      </c>
      <c r="B12" s="109">
        <f>'WP 7 Wheeling Revenues'!B15</f>
        <v>44531</v>
      </c>
      <c r="C12" s="58">
        <f>'WP 5 CAISO Charges'!E13</f>
        <v>1500</v>
      </c>
      <c r="D12" s="651" t="str">
        <f>D8</f>
        <v>Work paper No. 5; Page 5.1 and 5.2; Line 7</v>
      </c>
      <c r="E12" s="340">
        <f t="shared" si="1"/>
        <v>5</v>
      </c>
    </row>
    <row r="13" spans="1:7" x14ac:dyDescent="0.35">
      <c r="A13" s="335">
        <f t="shared" si="0"/>
        <v>6</v>
      </c>
      <c r="B13" s="108"/>
      <c r="C13" s="31"/>
      <c r="D13" s="23"/>
      <c r="E13" s="336">
        <f t="shared" si="1"/>
        <v>6</v>
      </c>
    </row>
    <row r="14" spans="1:7" x14ac:dyDescent="0.35">
      <c r="A14" s="335">
        <f t="shared" si="0"/>
        <v>7</v>
      </c>
      <c r="B14" s="108">
        <f>'WP 7 Wheeling Revenues'!B17</f>
        <v>44562</v>
      </c>
      <c r="C14" s="31">
        <f>'WP 5 CAISO Charges'!F13</f>
        <v>1500</v>
      </c>
      <c r="D14" s="23" t="str">
        <f>D8</f>
        <v>Work paper No. 5; Page 5.1 and 5.2; Line 7</v>
      </c>
      <c r="E14" s="336">
        <f t="shared" si="1"/>
        <v>7</v>
      </c>
    </row>
    <row r="15" spans="1:7" x14ac:dyDescent="0.35">
      <c r="A15" s="335">
        <f t="shared" si="0"/>
        <v>8</v>
      </c>
      <c r="B15" s="108"/>
      <c r="C15" s="31"/>
      <c r="D15" s="10"/>
      <c r="E15" s="336">
        <f t="shared" si="1"/>
        <v>8</v>
      </c>
    </row>
    <row r="16" spans="1:7" x14ac:dyDescent="0.35">
      <c r="A16" s="335">
        <f t="shared" si="0"/>
        <v>9</v>
      </c>
      <c r="B16" s="108">
        <f>'WP 7 Wheeling Revenues'!B19</f>
        <v>44593</v>
      </c>
      <c r="C16" s="31">
        <f>'WP 5 CAISO Charges'!G13</f>
        <v>1500</v>
      </c>
      <c r="D16" s="23" t="str">
        <f>D8</f>
        <v>Work paper No. 5; Page 5.1 and 5.2; Line 7</v>
      </c>
      <c r="E16" s="336">
        <f t="shared" si="1"/>
        <v>9</v>
      </c>
    </row>
    <row r="17" spans="1:5" x14ac:dyDescent="0.35">
      <c r="A17" s="335">
        <f t="shared" si="0"/>
        <v>10</v>
      </c>
      <c r="B17" s="108"/>
      <c r="C17" s="31"/>
      <c r="D17" s="10"/>
      <c r="E17" s="336">
        <f t="shared" si="1"/>
        <v>10</v>
      </c>
    </row>
    <row r="18" spans="1:5" ht="16" thickBot="1" x14ac:dyDescent="0.4">
      <c r="A18" s="337">
        <f t="shared" si="0"/>
        <v>11</v>
      </c>
      <c r="B18" s="109">
        <f>'WP 7 Wheeling Revenues'!B21</f>
        <v>44621</v>
      </c>
      <c r="C18" s="58">
        <f>'WP 5 CAISO Charges'!H13</f>
        <v>1500</v>
      </c>
      <c r="D18" s="651" t="str">
        <f>D8</f>
        <v>Work paper No. 5; Page 5.1 and 5.2; Line 7</v>
      </c>
      <c r="E18" s="340">
        <f t="shared" si="1"/>
        <v>11</v>
      </c>
    </row>
    <row r="19" spans="1:5" x14ac:dyDescent="0.35">
      <c r="A19" s="335">
        <f t="shared" si="0"/>
        <v>12</v>
      </c>
      <c r="B19" s="108"/>
      <c r="C19" s="31"/>
      <c r="D19" s="10"/>
      <c r="E19" s="336">
        <f t="shared" si="1"/>
        <v>12</v>
      </c>
    </row>
    <row r="20" spans="1:5" x14ac:dyDescent="0.35">
      <c r="A20" s="335">
        <f t="shared" si="0"/>
        <v>13</v>
      </c>
      <c r="B20" s="108">
        <f>'WP 7 Wheeling Revenues'!B23</f>
        <v>44652</v>
      </c>
      <c r="C20" s="31">
        <f>'WP 5 CAISO Charges'!I13</f>
        <v>1500</v>
      </c>
      <c r="D20" s="23" t="str">
        <f>D8</f>
        <v>Work paper No. 5; Page 5.1 and 5.2; Line 7</v>
      </c>
      <c r="E20" s="336">
        <f t="shared" si="1"/>
        <v>13</v>
      </c>
    </row>
    <row r="21" spans="1:5" x14ac:dyDescent="0.35">
      <c r="A21" s="335">
        <f t="shared" si="0"/>
        <v>14</v>
      </c>
      <c r="B21" s="108"/>
      <c r="C21" s="31"/>
      <c r="D21" s="10"/>
      <c r="E21" s="336">
        <f t="shared" si="1"/>
        <v>14</v>
      </c>
    </row>
    <row r="22" spans="1:5" x14ac:dyDescent="0.35">
      <c r="A22" s="335">
        <f t="shared" si="0"/>
        <v>15</v>
      </c>
      <c r="B22" s="108">
        <f>'WP 7 Wheeling Revenues'!B25</f>
        <v>44682</v>
      </c>
      <c r="C22" s="31">
        <f>'WP 5 CAISO Charges'!J13</f>
        <v>1500</v>
      </c>
      <c r="D22" s="23" t="str">
        <f>D8</f>
        <v>Work paper No. 5; Page 5.1 and 5.2; Line 7</v>
      </c>
      <c r="E22" s="336">
        <f t="shared" si="1"/>
        <v>15</v>
      </c>
    </row>
    <row r="23" spans="1:5" x14ac:dyDescent="0.35">
      <c r="A23" s="335">
        <f t="shared" si="0"/>
        <v>16</v>
      </c>
      <c r="B23" s="108"/>
      <c r="C23" s="31"/>
      <c r="D23" s="10"/>
      <c r="E23" s="336">
        <f t="shared" si="1"/>
        <v>16</v>
      </c>
    </row>
    <row r="24" spans="1:5" ht="16" thickBot="1" x14ac:dyDescent="0.4">
      <c r="A24" s="337">
        <f t="shared" si="0"/>
        <v>17</v>
      </c>
      <c r="B24" s="109">
        <f>'WP 7 Wheeling Revenues'!B27</f>
        <v>44713</v>
      </c>
      <c r="C24" s="58">
        <f>'WP 5 CAISO Charges'!K13</f>
        <v>1500</v>
      </c>
      <c r="D24" s="651" t="str">
        <f>D8</f>
        <v>Work paper No. 5; Page 5.1 and 5.2; Line 7</v>
      </c>
      <c r="E24" s="340">
        <f t="shared" si="1"/>
        <v>17</v>
      </c>
    </row>
    <row r="25" spans="1:5" x14ac:dyDescent="0.35">
      <c r="A25" s="335">
        <f t="shared" si="0"/>
        <v>18</v>
      </c>
      <c r="B25" s="108"/>
      <c r="C25" s="31"/>
      <c r="D25" s="10"/>
      <c r="E25" s="336">
        <f t="shared" si="1"/>
        <v>18</v>
      </c>
    </row>
    <row r="26" spans="1:5" x14ac:dyDescent="0.35">
      <c r="A26" s="335">
        <f t="shared" si="0"/>
        <v>19</v>
      </c>
      <c r="B26" s="108">
        <f>'WP 7 Wheeling Revenues'!B29</f>
        <v>44743</v>
      </c>
      <c r="C26" s="31">
        <f>'WP 5 CAISO Charges'!L13</f>
        <v>1500</v>
      </c>
      <c r="D26" s="23" t="str">
        <f>D8</f>
        <v>Work paper No. 5; Page 5.1 and 5.2; Line 7</v>
      </c>
      <c r="E26" s="336">
        <f t="shared" si="1"/>
        <v>19</v>
      </c>
    </row>
    <row r="27" spans="1:5" x14ac:dyDescent="0.35">
      <c r="A27" s="335">
        <f t="shared" si="0"/>
        <v>20</v>
      </c>
      <c r="B27" s="108"/>
      <c r="C27" s="31"/>
      <c r="D27" s="10"/>
      <c r="E27" s="336">
        <f t="shared" si="1"/>
        <v>20</v>
      </c>
    </row>
    <row r="28" spans="1:5" x14ac:dyDescent="0.35">
      <c r="A28" s="335">
        <f t="shared" si="0"/>
        <v>21</v>
      </c>
      <c r="B28" s="108">
        <f>'WP 7 Wheeling Revenues'!B31</f>
        <v>44774</v>
      </c>
      <c r="C28" s="31">
        <f>'WP 5 CAISO Charges'!M13</f>
        <v>1500</v>
      </c>
      <c r="D28" s="23" t="str">
        <f>D8</f>
        <v>Work paper No. 5; Page 5.1 and 5.2; Line 7</v>
      </c>
      <c r="E28" s="336">
        <f t="shared" si="1"/>
        <v>21</v>
      </c>
    </row>
    <row r="29" spans="1:5" x14ac:dyDescent="0.35">
      <c r="A29" s="335">
        <f t="shared" si="0"/>
        <v>22</v>
      </c>
      <c r="B29" s="108"/>
      <c r="C29" s="31"/>
      <c r="D29" s="10"/>
      <c r="E29" s="336">
        <f t="shared" si="1"/>
        <v>22</v>
      </c>
    </row>
    <row r="30" spans="1:5" ht="16" thickBot="1" x14ac:dyDescent="0.4">
      <c r="A30" s="337">
        <f t="shared" si="0"/>
        <v>23</v>
      </c>
      <c r="B30" s="109">
        <f>'WP 7 Wheeling Revenues'!B33</f>
        <v>44805</v>
      </c>
      <c r="C30" s="82">
        <f>'WP 5 CAISO Charges'!N13</f>
        <v>1500</v>
      </c>
      <c r="D30" s="651" t="str">
        <f>D8</f>
        <v>Work paper No. 5; Page 5.1 and 5.2; Line 7</v>
      </c>
      <c r="E30" s="340">
        <f t="shared" si="1"/>
        <v>23</v>
      </c>
    </row>
    <row r="31" spans="1:5" x14ac:dyDescent="0.35">
      <c r="A31" s="335">
        <f t="shared" si="0"/>
        <v>24</v>
      </c>
      <c r="B31" s="108"/>
      <c r="C31" s="44"/>
      <c r="D31" s="23"/>
      <c r="E31" s="336">
        <f t="shared" si="1"/>
        <v>24</v>
      </c>
    </row>
    <row r="32" spans="1:5" ht="16" thickBot="1" x14ac:dyDescent="0.4">
      <c r="A32" s="335">
        <f t="shared" si="0"/>
        <v>25</v>
      </c>
      <c r="B32" s="132" t="s">
        <v>412</v>
      </c>
      <c r="C32" s="73">
        <f>SUM(C8:C30)</f>
        <v>18000</v>
      </c>
      <c r="D32" s="29" t="s">
        <v>413</v>
      </c>
      <c r="E32" s="336">
        <f t="shared" si="1"/>
        <v>25</v>
      </c>
    </row>
    <row r="33" spans="1:5" ht="16" thickTop="1" x14ac:dyDescent="0.35">
      <c r="A33" s="335">
        <f t="shared" si="0"/>
        <v>26</v>
      </c>
      <c r="B33" s="84"/>
      <c r="C33" s="161"/>
      <c r="E33" s="336">
        <f t="shared" si="1"/>
        <v>26</v>
      </c>
    </row>
    <row r="34" spans="1:5" ht="33" thickBot="1" x14ac:dyDescent="0.4">
      <c r="A34" s="673">
        <f t="shared" si="0"/>
        <v>27</v>
      </c>
      <c r="B34" s="674" t="s">
        <v>419</v>
      </c>
      <c r="C34" s="676">
        <f>C32</f>
        <v>18000</v>
      </c>
      <c r="D34" s="29" t="s">
        <v>415</v>
      </c>
      <c r="E34" s="675">
        <f t="shared" si="1"/>
        <v>27</v>
      </c>
    </row>
    <row r="35" spans="1:5" ht="16.5" thickTop="1" thickBot="1" x14ac:dyDescent="0.4">
      <c r="A35" s="337">
        <f t="shared" si="0"/>
        <v>28</v>
      </c>
      <c r="B35" s="363"/>
      <c r="C35" s="791"/>
      <c r="D35" s="249"/>
      <c r="E35" s="340">
        <f t="shared" ref="E35" si="2">E34+1</f>
        <v>28</v>
      </c>
    </row>
    <row r="36" spans="1:5" x14ac:dyDescent="0.35">
      <c r="B36" s="334"/>
      <c r="C36" s="72"/>
      <c r="D36" s="72"/>
    </row>
    <row r="37" spans="1:5" ht="20" x14ac:dyDescent="0.35">
      <c r="A37" s="164" t="s">
        <v>420</v>
      </c>
      <c r="B37" s="303" t="s">
        <v>421</v>
      </c>
      <c r="C37" s="107"/>
    </row>
    <row r="38" spans="1:5" x14ac:dyDescent="0.35">
      <c r="A38" s="37"/>
      <c r="B38" s="303" t="s">
        <v>422</v>
      </c>
      <c r="C38" s="129"/>
      <c r="D38" s="129"/>
    </row>
    <row r="39" spans="1:5" x14ac:dyDescent="0.35">
      <c r="A39" s="1"/>
      <c r="B39" s="303" t="s">
        <v>423</v>
      </c>
      <c r="C39" s="129"/>
      <c r="D39" s="129"/>
    </row>
    <row r="40" spans="1:5" x14ac:dyDescent="0.35">
      <c r="B40" s="129"/>
      <c r="C40" s="130"/>
      <c r="D40" s="129"/>
    </row>
    <row r="41" spans="1:5" x14ac:dyDescent="0.35">
      <c r="B41" s="129"/>
      <c r="C41" s="130"/>
      <c r="D41" s="129"/>
    </row>
    <row r="42" spans="1:5" x14ac:dyDescent="0.35">
      <c r="B42" s="129"/>
      <c r="C42" s="130"/>
      <c r="D42" s="129"/>
    </row>
    <row r="43" spans="1:5" x14ac:dyDescent="0.35">
      <c r="B43" s="131"/>
      <c r="C43" s="113"/>
      <c r="D43" s="113"/>
    </row>
  </sheetData>
  <mergeCells count="3">
    <mergeCell ref="A2:E2"/>
    <mergeCell ref="A3:E3"/>
    <mergeCell ref="A4:E4"/>
  </mergeCells>
  <printOptions horizontalCentered="1"/>
  <pageMargins left="0" right="0" top="0.5" bottom="0.5" header="0.25" footer="0.25"/>
  <pageSetup scale="77" orientation="landscape" r:id="rId1"/>
  <headerFooter scaleWithDoc="0" alignWithMargins="0">
    <oddFooter>&amp;L&amp;"Times New Roman,Regular"&amp;9&amp;F&amp;C&amp;"Times New Roman,Regular"&amp;9Page 8.1&amp;R&amp;"Times New Roman,Regular"&amp;9&amp;A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21F82-ACDE-4E3C-B78C-2E7BFB04A471}">
  <sheetPr>
    <pageSetUpPr fitToPage="1"/>
  </sheetPr>
  <dimension ref="A2:F43"/>
  <sheetViews>
    <sheetView zoomScale="80" zoomScaleNormal="80" workbookViewId="0"/>
  </sheetViews>
  <sheetFormatPr defaultColWidth="9.453125" defaultRowHeight="15.5" x14ac:dyDescent="0.35"/>
  <cols>
    <col min="1" max="1" width="5.453125" style="107" bestFit="1" customWidth="1"/>
    <col min="2" max="2" width="65.54296875" style="131" customWidth="1"/>
    <col min="3" max="3" width="22" style="107" bestFit="1" customWidth="1"/>
    <col min="4" max="4" width="48.453125" style="107" customWidth="1"/>
    <col min="5" max="5" width="5.453125" style="107" bestFit="1" customWidth="1"/>
    <col min="6" max="6" width="2.453125" style="107" bestFit="1" customWidth="1"/>
    <col min="7" max="16384" width="9.453125" style="107"/>
  </cols>
  <sheetData>
    <row r="2" spans="1:6" x14ac:dyDescent="0.35">
      <c r="A2" s="970" t="s">
        <v>1</v>
      </c>
      <c r="B2" s="970"/>
      <c r="C2" s="970"/>
      <c r="D2" s="970"/>
      <c r="E2" s="970"/>
    </row>
    <row r="3" spans="1:6" x14ac:dyDescent="0.35">
      <c r="A3" s="970" t="str">
        <f>'WP 7 Wheeling Revenues'!A3:G3</f>
        <v>2023 - TRBAA Rate Filing</v>
      </c>
      <c r="B3" s="970"/>
      <c r="C3" s="970"/>
      <c r="D3" s="970"/>
      <c r="E3" s="970"/>
    </row>
    <row r="4" spans="1:6" x14ac:dyDescent="0.35">
      <c r="A4" s="970" t="s">
        <v>424</v>
      </c>
      <c r="B4" s="970"/>
      <c r="C4" s="970"/>
      <c r="D4" s="970"/>
      <c r="E4" s="970"/>
    </row>
    <row r="5" spans="1:6" ht="16" thickBot="1" x14ac:dyDescent="0.4">
      <c r="A5" s="339"/>
      <c r="B5" s="665"/>
      <c r="C5" s="666"/>
      <c r="D5" s="666"/>
      <c r="E5" s="339"/>
    </row>
    <row r="6" spans="1:6" ht="52.5" customHeight="1" thickBot="1" x14ac:dyDescent="0.4">
      <c r="A6" s="667" t="s">
        <v>70</v>
      </c>
      <c r="B6" s="338" t="s">
        <v>408</v>
      </c>
      <c r="C6" s="677" t="s">
        <v>425</v>
      </c>
      <c r="D6" s="593" t="s">
        <v>16</v>
      </c>
      <c r="E6" s="669" t="s">
        <v>70</v>
      </c>
    </row>
    <row r="7" spans="1:6" x14ac:dyDescent="0.35">
      <c r="A7" s="678"/>
      <c r="B7" s="793"/>
      <c r="C7" s="431"/>
      <c r="D7" s="431"/>
      <c r="E7" s="679"/>
    </row>
    <row r="8" spans="1:6" x14ac:dyDescent="0.35">
      <c r="A8" s="335">
        <v>1</v>
      </c>
      <c r="B8" s="108">
        <f>'WP 7 Wheeling Revenues'!B11</f>
        <v>44470</v>
      </c>
      <c r="C8" s="19">
        <f>'WP 5 CAISO Charges'!C16</f>
        <v>-116896.19999999997</v>
      </c>
      <c r="D8" s="23" t="s">
        <v>426</v>
      </c>
      <c r="E8" s="336">
        <f>A8</f>
        <v>1</v>
      </c>
      <c r="F8" s="790"/>
    </row>
    <row r="9" spans="1:6" x14ac:dyDescent="0.35">
      <c r="A9" s="335">
        <f>A8+1</f>
        <v>2</v>
      </c>
      <c r="B9" s="108"/>
      <c r="C9" s="19"/>
      <c r="D9" s="10"/>
      <c r="E9" s="336">
        <f t="shared" ref="E9:E34" si="0">A9</f>
        <v>2</v>
      </c>
      <c r="F9" s="790"/>
    </row>
    <row r="10" spans="1:6" x14ac:dyDescent="0.35">
      <c r="A10" s="335">
        <f t="shared" ref="A10:A35" si="1">A9+1</f>
        <v>3</v>
      </c>
      <c r="B10" s="108">
        <f>'WP 7 Wheeling Revenues'!B13</f>
        <v>44501</v>
      </c>
      <c r="C10" s="31">
        <f>'WP 5 CAISO Charges'!D16</f>
        <v>-92653.579999999973</v>
      </c>
      <c r="D10" s="23" t="str">
        <f>D8</f>
        <v>Work paper No. 5; Page 5.1 and 5.2; Line 10</v>
      </c>
      <c r="E10" s="336">
        <f t="shared" si="0"/>
        <v>3</v>
      </c>
    </row>
    <row r="11" spans="1:6" x14ac:dyDescent="0.35">
      <c r="A11" s="335">
        <f t="shared" si="1"/>
        <v>4</v>
      </c>
      <c r="B11" s="108"/>
      <c r="C11" s="31"/>
      <c r="D11" s="10"/>
      <c r="E11" s="336">
        <f t="shared" si="0"/>
        <v>4</v>
      </c>
    </row>
    <row r="12" spans="1:6" ht="16" thickBot="1" x14ac:dyDescent="0.4">
      <c r="A12" s="337">
        <f t="shared" si="1"/>
        <v>5</v>
      </c>
      <c r="B12" s="109">
        <f>'WP 7 Wheeling Revenues'!B15</f>
        <v>44531</v>
      </c>
      <c r="C12" s="58">
        <f>'WP 5 CAISO Charges'!E16</f>
        <v>112616.98000000001</v>
      </c>
      <c r="D12" s="651" t="str">
        <f>D8</f>
        <v>Work paper No. 5; Page 5.1 and 5.2; Line 10</v>
      </c>
      <c r="E12" s="340">
        <f t="shared" si="0"/>
        <v>5</v>
      </c>
    </row>
    <row r="13" spans="1:6" x14ac:dyDescent="0.35">
      <c r="A13" s="335">
        <f t="shared" si="1"/>
        <v>6</v>
      </c>
      <c r="B13" s="108"/>
      <c r="C13" s="31"/>
      <c r="D13" s="23"/>
      <c r="E13" s="336">
        <f t="shared" si="0"/>
        <v>6</v>
      </c>
    </row>
    <row r="14" spans="1:6" x14ac:dyDescent="0.35">
      <c r="A14" s="335">
        <f t="shared" si="1"/>
        <v>7</v>
      </c>
      <c r="B14" s="108">
        <f>'WP 7 Wheeling Revenues'!B17</f>
        <v>44562</v>
      </c>
      <c r="C14" s="31">
        <f>'WP 5 CAISO Charges'!F16</f>
        <v>-110138.31999999996</v>
      </c>
      <c r="D14" s="23" t="str">
        <f>D8</f>
        <v>Work paper No. 5; Page 5.1 and 5.2; Line 10</v>
      </c>
      <c r="E14" s="336">
        <f t="shared" si="0"/>
        <v>7</v>
      </c>
    </row>
    <row r="15" spans="1:6" x14ac:dyDescent="0.35">
      <c r="A15" s="335">
        <f t="shared" si="1"/>
        <v>8</v>
      </c>
      <c r="B15" s="108"/>
      <c r="C15" s="31"/>
      <c r="D15" s="10"/>
      <c r="E15" s="336">
        <f t="shared" si="0"/>
        <v>8</v>
      </c>
    </row>
    <row r="16" spans="1:6" x14ac:dyDescent="0.35">
      <c r="A16" s="335">
        <f t="shared" si="1"/>
        <v>9</v>
      </c>
      <c r="B16" s="108">
        <f>'WP 7 Wheeling Revenues'!B19</f>
        <v>44593</v>
      </c>
      <c r="C16" s="31">
        <f>'WP 5 CAISO Charges'!G16</f>
        <v>-73571.67</v>
      </c>
      <c r="D16" s="23" t="str">
        <f>D8</f>
        <v>Work paper No. 5; Page 5.1 and 5.2; Line 10</v>
      </c>
      <c r="E16" s="336">
        <f t="shared" si="0"/>
        <v>9</v>
      </c>
    </row>
    <row r="17" spans="1:5" x14ac:dyDescent="0.35">
      <c r="A17" s="335">
        <f t="shared" si="1"/>
        <v>10</v>
      </c>
      <c r="B17" s="108"/>
      <c r="C17" s="31"/>
      <c r="D17" s="10"/>
      <c r="E17" s="336">
        <f t="shared" si="0"/>
        <v>10</v>
      </c>
    </row>
    <row r="18" spans="1:5" ht="16" thickBot="1" x14ac:dyDescent="0.4">
      <c r="A18" s="337">
        <f t="shared" si="1"/>
        <v>11</v>
      </c>
      <c r="B18" s="109">
        <f>'WP 7 Wheeling Revenues'!B21</f>
        <v>44621</v>
      </c>
      <c r="C18" s="58">
        <f>'WP 5 CAISO Charges'!H16</f>
        <v>-92521.089999999982</v>
      </c>
      <c r="D18" s="651" t="str">
        <f>D8</f>
        <v>Work paper No. 5; Page 5.1 and 5.2; Line 10</v>
      </c>
      <c r="E18" s="340">
        <f t="shared" si="0"/>
        <v>11</v>
      </c>
    </row>
    <row r="19" spans="1:5" x14ac:dyDescent="0.35">
      <c r="A19" s="335">
        <f t="shared" si="1"/>
        <v>12</v>
      </c>
      <c r="B19" s="108"/>
      <c r="C19" s="31"/>
      <c r="D19" s="10"/>
      <c r="E19" s="336">
        <f t="shared" si="0"/>
        <v>12</v>
      </c>
    </row>
    <row r="20" spans="1:5" x14ac:dyDescent="0.35">
      <c r="A20" s="335">
        <f t="shared" si="1"/>
        <v>13</v>
      </c>
      <c r="B20" s="108">
        <f>'WP 7 Wheeling Revenues'!B23</f>
        <v>44652</v>
      </c>
      <c r="C20" s="31">
        <f>'WP 5 CAISO Charges'!I16</f>
        <v>-95322.360000000015</v>
      </c>
      <c r="D20" s="23" t="str">
        <f>D8</f>
        <v>Work paper No. 5; Page 5.1 and 5.2; Line 10</v>
      </c>
      <c r="E20" s="336">
        <f t="shared" si="0"/>
        <v>13</v>
      </c>
    </row>
    <row r="21" spans="1:5" x14ac:dyDescent="0.35">
      <c r="A21" s="335">
        <f t="shared" si="1"/>
        <v>14</v>
      </c>
      <c r="B21" s="108"/>
      <c r="C21" s="31"/>
      <c r="D21" s="10"/>
      <c r="E21" s="336">
        <f t="shared" si="0"/>
        <v>14</v>
      </c>
    </row>
    <row r="22" spans="1:5" x14ac:dyDescent="0.35">
      <c r="A22" s="335">
        <f t="shared" si="1"/>
        <v>15</v>
      </c>
      <c r="B22" s="108">
        <f>'WP 7 Wheeling Revenues'!B25</f>
        <v>44682</v>
      </c>
      <c r="C22" s="31">
        <f>'WP 5 CAISO Charges'!J16</f>
        <v>-55480.089999999975</v>
      </c>
      <c r="D22" s="23" t="str">
        <f>D8</f>
        <v>Work paper No. 5; Page 5.1 and 5.2; Line 10</v>
      </c>
      <c r="E22" s="336">
        <f t="shared" si="0"/>
        <v>15</v>
      </c>
    </row>
    <row r="23" spans="1:5" x14ac:dyDescent="0.35">
      <c r="A23" s="335">
        <f t="shared" si="1"/>
        <v>16</v>
      </c>
      <c r="B23" s="108"/>
      <c r="C23" s="31"/>
      <c r="D23" s="10"/>
      <c r="E23" s="336">
        <f t="shared" si="0"/>
        <v>16</v>
      </c>
    </row>
    <row r="24" spans="1:5" ht="16" thickBot="1" x14ac:dyDescent="0.4">
      <c r="A24" s="337">
        <f t="shared" si="1"/>
        <v>17</v>
      </c>
      <c r="B24" s="109">
        <f>'WP 7 Wheeling Revenues'!B27</f>
        <v>44713</v>
      </c>
      <c r="C24" s="58">
        <f>'WP 5 CAISO Charges'!K16</f>
        <v>-65693.819999999978</v>
      </c>
      <c r="D24" s="651" t="str">
        <f>D8</f>
        <v>Work paper No. 5; Page 5.1 and 5.2; Line 10</v>
      </c>
      <c r="E24" s="340">
        <f t="shared" si="0"/>
        <v>17</v>
      </c>
    </row>
    <row r="25" spans="1:5" x14ac:dyDescent="0.35">
      <c r="A25" s="335">
        <f t="shared" si="1"/>
        <v>18</v>
      </c>
      <c r="B25" s="108"/>
      <c r="C25" s="31"/>
      <c r="D25" s="10"/>
      <c r="E25" s="336">
        <f t="shared" si="0"/>
        <v>18</v>
      </c>
    </row>
    <row r="26" spans="1:5" x14ac:dyDescent="0.35">
      <c r="A26" s="335">
        <f t="shared" si="1"/>
        <v>19</v>
      </c>
      <c r="B26" s="108">
        <f>'WP 7 Wheeling Revenues'!B29</f>
        <v>44743</v>
      </c>
      <c r="C26" s="31">
        <f>'WP 5 CAISO Charges'!L16</f>
        <v>-83198.849999999962</v>
      </c>
      <c r="D26" s="23" t="str">
        <f>D8</f>
        <v>Work paper No. 5; Page 5.1 and 5.2; Line 10</v>
      </c>
      <c r="E26" s="336">
        <f t="shared" si="0"/>
        <v>19</v>
      </c>
    </row>
    <row r="27" spans="1:5" x14ac:dyDescent="0.35">
      <c r="A27" s="335">
        <f t="shared" si="1"/>
        <v>20</v>
      </c>
      <c r="B27" s="108"/>
      <c r="C27" s="31"/>
      <c r="D27" s="10"/>
      <c r="E27" s="336">
        <f t="shared" si="0"/>
        <v>20</v>
      </c>
    </row>
    <row r="28" spans="1:5" x14ac:dyDescent="0.35">
      <c r="A28" s="335">
        <f t="shared" si="1"/>
        <v>21</v>
      </c>
      <c r="B28" s="108">
        <f>'WP 7 Wheeling Revenues'!B31</f>
        <v>44774</v>
      </c>
      <c r="C28" s="31">
        <f>'WP 5 CAISO Charges'!M16</f>
        <v>-58424.279999999992</v>
      </c>
      <c r="D28" s="23" t="str">
        <f>D8</f>
        <v>Work paper No. 5; Page 5.1 and 5.2; Line 10</v>
      </c>
      <c r="E28" s="336">
        <f t="shared" si="0"/>
        <v>21</v>
      </c>
    </row>
    <row r="29" spans="1:5" x14ac:dyDescent="0.35">
      <c r="A29" s="335">
        <f t="shared" si="1"/>
        <v>22</v>
      </c>
      <c r="B29" s="108"/>
      <c r="C29" s="31"/>
      <c r="D29" s="10"/>
      <c r="E29" s="336">
        <f t="shared" si="0"/>
        <v>22</v>
      </c>
    </row>
    <row r="30" spans="1:5" ht="16" thickBot="1" x14ac:dyDescent="0.4">
      <c r="A30" s="337">
        <f t="shared" si="1"/>
        <v>23</v>
      </c>
      <c r="B30" s="109">
        <f>'WP 7 Wheeling Revenues'!B33</f>
        <v>44805</v>
      </c>
      <c r="C30" s="82">
        <f>'WP 5 CAISO Charges'!N16</f>
        <v>40230.639999999948</v>
      </c>
      <c r="D30" s="651" t="str">
        <f>D8</f>
        <v>Work paper No. 5; Page 5.1 and 5.2; Line 10</v>
      </c>
      <c r="E30" s="340">
        <f t="shared" si="0"/>
        <v>23</v>
      </c>
    </row>
    <row r="31" spans="1:5" x14ac:dyDescent="0.35">
      <c r="A31" s="335">
        <f t="shared" si="1"/>
        <v>24</v>
      </c>
      <c r="B31" s="108"/>
      <c r="C31" s="44"/>
      <c r="D31" s="23"/>
      <c r="E31" s="336">
        <f t="shared" si="0"/>
        <v>24</v>
      </c>
    </row>
    <row r="32" spans="1:5" ht="16" thickBot="1" x14ac:dyDescent="0.4">
      <c r="A32" s="335">
        <f t="shared" si="1"/>
        <v>25</v>
      </c>
      <c r="B32" s="132" t="s">
        <v>412</v>
      </c>
      <c r="C32" s="73">
        <f>SUM(C8:C30)</f>
        <v>-691052.6399999999</v>
      </c>
      <c r="D32" s="29" t="s">
        <v>413</v>
      </c>
      <c r="E32" s="336">
        <f t="shared" si="0"/>
        <v>25</v>
      </c>
    </row>
    <row r="33" spans="1:5" ht="16" thickTop="1" x14ac:dyDescent="0.35">
      <c r="A33" s="335">
        <f t="shared" si="1"/>
        <v>26</v>
      </c>
      <c r="B33" s="10"/>
      <c r="C33" s="19"/>
      <c r="E33" s="336">
        <f t="shared" si="0"/>
        <v>26</v>
      </c>
    </row>
    <row r="34" spans="1:5" ht="35.75" customHeight="1" thickBot="1" x14ac:dyDescent="0.4">
      <c r="A34" s="673">
        <f t="shared" si="1"/>
        <v>27</v>
      </c>
      <c r="B34" s="680" t="s">
        <v>424</v>
      </c>
      <c r="C34" s="192">
        <f>C32</f>
        <v>-691052.6399999999</v>
      </c>
      <c r="D34" s="29" t="s">
        <v>415</v>
      </c>
      <c r="E34" s="675">
        <f t="shared" si="0"/>
        <v>27</v>
      </c>
    </row>
    <row r="35" spans="1:5" ht="16.5" thickTop="1" thickBot="1" x14ac:dyDescent="0.4">
      <c r="A35" s="337">
        <f t="shared" si="1"/>
        <v>28</v>
      </c>
      <c r="B35" s="363"/>
      <c r="C35" s="791"/>
      <c r="D35" s="249"/>
      <c r="E35" s="340">
        <f t="shared" ref="E35" si="2">E34+1</f>
        <v>28</v>
      </c>
    </row>
    <row r="36" spans="1:5" x14ac:dyDescent="0.35">
      <c r="B36" s="334"/>
      <c r="C36" s="72"/>
      <c r="D36" s="72"/>
    </row>
    <row r="37" spans="1:5" ht="18.5" x14ac:dyDescent="0.35">
      <c r="A37" s="681"/>
      <c r="B37" s="107"/>
      <c r="C37" s="110"/>
      <c r="D37" s="110"/>
    </row>
    <row r="38" spans="1:5" ht="12.75" customHeight="1" x14ac:dyDescent="0.35">
      <c r="A38" s="681"/>
      <c r="B38" s="107"/>
      <c r="C38" s="110"/>
      <c r="D38" s="110"/>
    </row>
    <row r="39" spans="1:5" ht="18.5" x14ac:dyDescent="0.35">
      <c r="A39" s="681"/>
      <c r="B39" s="133"/>
    </row>
    <row r="40" spans="1:5" x14ac:dyDescent="0.35">
      <c r="B40" s="129"/>
      <c r="C40" s="129"/>
      <c r="D40" s="129"/>
    </row>
    <row r="41" spans="1:5" x14ac:dyDescent="0.35">
      <c r="B41" s="129"/>
      <c r="C41" s="129"/>
      <c r="D41" s="129"/>
    </row>
    <row r="42" spans="1:5" x14ac:dyDescent="0.35">
      <c r="B42" s="129"/>
      <c r="C42" s="129"/>
      <c r="D42" s="129"/>
    </row>
    <row r="43" spans="1:5" x14ac:dyDescent="0.35">
      <c r="C43" s="113"/>
      <c r="D43" s="113"/>
    </row>
  </sheetData>
  <mergeCells count="3">
    <mergeCell ref="A2:E2"/>
    <mergeCell ref="A3:E3"/>
    <mergeCell ref="A4:E4"/>
  </mergeCells>
  <printOptions horizontalCentered="1"/>
  <pageMargins left="0" right="0" top="0.5" bottom="0.5" header="0.25" footer="0.25"/>
  <pageSetup scale="76" orientation="landscape" r:id="rId1"/>
  <headerFooter alignWithMargins="0">
    <oddFooter>&amp;L&amp;"Times New Roman,Regular"&amp;12&amp;F&amp;C&amp;"Times New Roman,Regular"&amp;12Page 9.1&amp;R&amp;"Times New Roman,Regular"&amp;12&amp;A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S93"/>
  <sheetViews>
    <sheetView zoomScale="80" zoomScaleNormal="80" zoomScaleSheetLayoutView="70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.453125" defaultRowHeight="12.5" x14ac:dyDescent="0.25"/>
  <cols>
    <col min="1" max="1" width="5.54296875" style="243" customWidth="1"/>
    <col min="2" max="2" width="9.08984375" style="243" bestFit="1" customWidth="1"/>
    <col min="3" max="3" width="59" style="243" customWidth="1"/>
    <col min="4" max="15" width="13.54296875" style="374" customWidth="1"/>
    <col min="16" max="16" width="15.54296875" style="374" customWidth="1"/>
    <col min="17" max="17" width="5.54296875" style="243" customWidth="1"/>
    <col min="18" max="16384" width="9.453125" style="243"/>
  </cols>
  <sheetData>
    <row r="2" spans="1:18" ht="16" thickBot="1" x14ac:dyDescent="0.4">
      <c r="A2" s="55"/>
      <c r="B2" s="310"/>
      <c r="C2" s="79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"/>
    </row>
    <row r="3" spans="1:18" ht="38.25" customHeight="1" thickBot="1" x14ac:dyDescent="0.35">
      <c r="A3" s="860" t="s">
        <v>70</v>
      </c>
      <c r="B3" s="315" t="s">
        <v>427</v>
      </c>
      <c r="C3" s="366" t="s">
        <v>428</v>
      </c>
      <c r="D3" s="542">
        <f>'WP 1.1 Recorded Sales'!C5</f>
        <v>44470</v>
      </c>
      <c r="E3" s="366">
        <f>'WP 1.1 Recorded Sales'!D5</f>
        <v>44501</v>
      </c>
      <c r="F3" s="542">
        <f>'WP 1.1 Recorded Sales'!E5</f>
        <v>44531</v>
      </c>
      <c r="G3" s="542">
        <f>'WP 1.1 Recorded Sales'!F5</f>
        <v>44562</v>
      </c>
      <c r="H3" s="542">
        <f>'WP 1.1 Recorded Sales'!G5</f>
        <v>44593</v>
      </c>
      <c r="I3" s="542">
        <f>'WP 1.1 Recorded Sales'!H5</f>
        <v>44621</v>
      </c>
      <c r="J3" s="366">
        <f>'WP 1.1 Recorded Sales'!I5</f>
        <v>44652</v>
      </c>
      <c r="K3" s="542">
        <f>'WP 1.1 Recorded Sales'!J5</f>
        <v>44682</v>
      </c>
      <c r="L3" s="366">
        <f>'WP 1.1 Recorded Sales'!K5</f>
        <v>44713</v>
      </c>
      <c r="M3" s="542">
        <f>'WP 1.1 Recorded Sales'!L5</f>
        <v>44743</v>
      </c>
      <c r="N3" s="366">
        <f>'WP 1.1 Recorded Sales'!M5</f>
        <v>44774</v>
      </c>
      <c r="O3" s="542">
        <f>'WP 1.1 Recorded Sales'!N5</f>
        <v>44805</v>
      </c>
      <c r="P3" s="542" t="s">
        <v>18</v>
      </c>
      <c r="Q3" s="462" t="s">
        <v>70</v>
      </c>
    </row>
    <row r="4" spans="1:18" ht="15.5" thickBot="1" x14ac:dyDescent="0.35">
      <c r="A4" s="955"/>
      <c r="B4" s="931"/>
      <c r="C4" s="932" t="s">
        <v>87</v>
      </c>
      <c r="D4" s="936"/>
      <c r="E4" s="960"/>
      <c r="F4" s="933"/>
      <c r="G4" s="936"/>
      <c r="H4" s="936"/>
      <c r="I4" s="936"/>
      <c r="J4" s="958"/>
      <c r="K4" s="936"/>
      <c r="L4" s="958"/>
      <c r="M4" s="936"/>
      <c r="N4" s="958"/>
      <c r="O4" s="933"/>
      <c r="P4" s="933"/>
      <c r="Q4" s="935"/>
    </row>
    <row r="5" spans="1:18" ht="15.5" x14ac:dyDescent="0.35">
      <c r="A5" s="187">
        <v>1</v>
      </c>
      <c r="B5" s="527">
        <v>1592</v>
      </c>
      <c r="C5" s="940" t="s">
        <v>429</v>
      </c>
      <c r="D5" s="923">
        <f>-18349.85-'WP 12 PTO'!D5</f>
        <v>-17935.239999999998</v>
      </c>
      <c r="E5" s="328">
        <v>0</v>
      </c>
      <c r="F5" s="466">
        <v>0</v>
      </c>
      <c r="G5" s="923">
        <v>0</v>
      </c>
      <c r="H5" s="923">
        <v>0</v>
      </c>
      <c r="I5" s="923">
        <v>0</v>
      </c>
      <c r="J5" s="341">
        <v>0</v>
      </c>
      <c r="K5" s="923">
        <v>0</v>
      </c>
      <c r="L5" s="341">
        <v>0</v>
      </c>
      <c r="M5" s="923">
        <v>0</v>
      </c>
      <c r="N5" s="341">
        <v>0</v>
      </c>
      <c r="O5" s="466">
        <v>0</v>
      </c>
      <c r="P5" s="466">
        <f t="shared" ref="P5:P22" si="0">SUM(D5:O5)</f>
        <v>-17935.239999999998</v>
      </c>
      <c r="Q5" s="350">
        <f>A5</f>
        <v>1</v>
      </c>
      <c r="R5" s="22"/>
    </row>
    <row r="6" spans="1:18" ht="15.5" x14ac:dyDescent="0.35">
      <c r="A6" s="187">
        <f>A5+1</f>
        <v>2</v>
      </c>
      <c r="B6" s="120">
        <v>6011</v>
      </c>
      <c r="C6" s="940" t="s">
        <v>430</v>
      </c>
      <c r="D6" s="148">
        <v>77531.23</v>
      </c>
      <c r="E6" s="93">
        <v>-46412.38</v>
      </c>
      <c r="F6" s="148">
        <v>223163.61</v>
      </c>
      <c r="G6" s="148">
        <v>-18785.07</v>
      </c>
      <c r="H6" s="148">
        <v>21.2199999999998</v>
      </c>
      <c r="I6" s="148">
        <v>14999.11</v>
      </c>
      <c r="J6" s="93">
        <v>18352.07</v>
      </c>
      <c r="K6" s="148">
        <v>36216.199999999997</v>
      </c>
      <c r="L6" s="93">
        <v>111191.83</v>
      </c>
      <c r="M6" s="148">
        <v>107179.78</v>
      </c>
      <c r="N6" s="93">
        <v>145383.22</v>
      </c>
      <c r="O6" s="148">
        <v>466151.81</v>
      </c>
      <c r="P6" s="148">
        <f t="shared" si="0"/>
        <v>1134992.6299999999</v>
      </c>
      <c r="Q6" s="350">
        <f t="shared" ref="Q6:Q54" si="1">A6</f>
        <v>2</v>
      </c>
      <c r="R6" s="22"/>
    </row>
    <row r="7" spans="1:18" ht="15.5" x14ac:dyDescent="0.35">
      <c r="A7" s="187">
        <f t="shared" ref="A7:A54" si="2">A6+1</f>
        <v>3</v>
      </c>
      <c r="B7" s="120">
        <v>6090</v>
      </c>
      <c r="C7" s="940" t="s">
        <v>431</v>
      </c>
      <c r="D7" s="148">
        <v>0.43</v>
      </c>
      <c r="E7" s="93">
        <v>3.32</v>
      </c>
      <c r="F7" s="148">
        <v>-2.34</v>
      </c>
      <c r="G7" s="148">
        <v>0</v>
      </c>
      <c r="H7" s="148">
        <v>-0.17</v>
      </c>
      <c r="I7" s="148">
        <v>0.96</v>
      </c>
      <c r="J7" s="93">
        <v>0</v>
      </c>
      <c r="K7" s="148">
        <v>-0.76</v>
      </c>
      <c r="L7" s="93">
        <v>-2.5299999999999998</v>
      </c>
      <c r="M7" s="148">
        <v>-9.8699999999999992</v>
      </c>
      <c r="N7" s="93">
        <v>-4.29</v>
      </c>
      <c r="O7" s="148">
        <v>-0.7</v>
      </c>
      <c r="P7" s="148">
        <f t="shared" si="0"/>
        <v>-15.95</v>
      </c>
      <c r="Q7" s="350">
        <f t="shared" si="1"/>
        <v>3</v>
      </c>
      <c r="R7" s="22"/>
    </row>
    <row r="8" spans="1:18" ht="15.5" x14ac:dyDescent="0.35">
      <c r="A8" s="187">
        <f t="shared" si="2"/>
        <v>4</v>
      </c>
      <c r="B8" s="120">
        <v>6194</v>
      </c>
      <c r="C8" s="940" t="s">
        <v>432</v>
      </c>
      <c r="D8" s="148">
        <v>-51.09</v>
      </c>
      <c r="E8" s="93">
        <v>-61.27</v>
      </c>
      <c r="F8" s="148">
        <v>-131.57</v>
      </c>
      <c r="G8" s="148">
        <v>-102.75</v>
      </c>
      <c r="H8" s="148">
        <v>-76.489999999999995</v>
      </c>
      <c r="I8" s="148">
        <v>-103.54</v>
      </c>
      <c r="J8" s="93">
        <v>-46.84</v>
      </c>
      <c r="K8" s="148">
        <v>18.649999999999999</v>
      </c>
      <c r="L8" s="93">
        <v>15.43</v>
      </c>
      <c r="M8" s="148">
        <v>-47.45</v>
      </c>
      <c r="N8" s="93">
        <v>5.46</v>
      </c>
      <c r="O8" s="148">
        <v>-367.1</v>
      </c>
      <c r="P8" s="148">
        <f t="shared" si="0"/>
        <v>-948.56000000000017</v>
      </c>
      <c r="Q8" s="350">
        <f t="shared" si="1"/>
        <v>4</v>
      </c>
      <c r="R8" s="22"/>
    </row>
    <row r="9" spans="1:18" ht="16" thickBot="1" x14ac:dyDescent="0.4">
      <c r="A9" s="642">
        <f t="shared" si="2"/>
        <v>5</v>
      </c>
      <c r="B9" s="121">
        <v>6294</v>
      </c>
      <c r="C9" s="80" t="s">
        <v>433</v>
      </c>
      <c r="D9" s="721">
        <v>-10.65</v>
      </c>
      <c r="E9" s="939">
        <v>-5.81</v>
      </c>
      <c r="F9" s="721">
        <v>-5.1100000000000003</v>
      </c>
      <c r="G9" s="721">
        <v>-3.86</v>
      </c>
      <c r="H9" s="721">
        <v>-4.0599999999999996</v>
      </c>
      <c r="I9" s="721">
        <v>-6.56</v>
      </c>
      <c r="J9" s="939">
        <v>-13.46</v>
      </c>
      <c r="K9" s="721">
        <v>0.23</v>
      </c>
      <c r="L9" s="939">
        <v>4.5999999999999996</v>
      </c>
      <c r="M9" s="721">
        <v>-8.7100000000000009</v>
      </c>
      <c r="N9" s="939">
        <v>-8.9600000000000009</v>
      </c>
      <c r="O9" s="721">
        <v>-320.17</v>
      </c>
      <c r="P9" s="721">
        <f t="shared" si="0"/>
        <v>-382.52000000000004</v>
      </c>
      <c r="Q9" s="464">
        <f t="shared" si="1"/>
        <v>5</v>
      </c>
      <c r="R9" s="22"/>
    </row>
    <row r="10" spans="1:18" ht="15.5" x14ac:dyDescent="0.35">
      <c r="A10" s="187">
        <f>A9+1</f>
        <v>6</v>
      </c>
      <c r="B10" s="120">
        <v>6458</v>
      </c>
      <c r="C10" s="949" t="s">
        <v>434</v>
      </c>
      <c r="D10" s="148">
        <v>208.47</v>
      </c>
      <c r="E10" s="93">
        <v>609.61</v>
      </c>
      <c r="F10" s="148">
        <v>-17.62</v>
      </c>
      <c r="G10" s="148">
        <v>0</v>
      </c>
      <c r="H10" s="148">
        <v>-6.61</v>
      </c>
      <c r="I10" s="148">
        <v>-14.26</v>
      </c>
      <c r="J10" s="93">
        <v>0</v>
      </c>
      <c r="K10" s="148">
        <v>-9.1300000000000008</v>
      </c>
      <c r="L10" s="93">
        <v>-62.25</v>
      </c>
      <c r="M10" s="148">
        <v>1398.41</v>
      </c>
      <c r="N10" s="93">
        <v>-122.6</v>
      </c>
      <c r="O10" s="148">
        <v>0.77</v>
      </c>
      <c r="P10" s="148">
        <f t="shared" si="0"/>
        <v>1984.79</v>
      </c>
      <c r="Q10" s="350">
        <f t="shared" si="1"/>
        <v>6</v>
      </c>
      <c r="R10" s="22"/>
    </row>
    <row r="11" spans="1:18" ht="15.5" x14ac:dyDescent="0.35">
      <c r="A11" s="187">
        <f t="shared" si="2"/>
        <v>7</v>
      </c>
      <c r="B11" s="120">
        <v>6478</v>
      </c>
      <c r="C11" s="949" t="s">
        <v>435</v>
      </c>
      <c r="D11" s="148">
        <v>3616.65</v>
      </c>
      <c r="E11" s="93">
        <v>7267.75</v>
      </c>
      <c r="F11" s="148">
        <v>11493.33</v>
      </c>
      <c r="G11" s="148">
        <v>4625.3</v>
      </c>
      <c r="H11" s="148">
        <v>2326.96</v>
      </c>
      <c r="I11" s="148">
        <v>-4160.4399999999996</v>
      </c>
      <c r="J11" s="93">
        <v>-1.49</v>
      </c>
      <c r="K11" s="148">
        <v>135.91</v>
      </c>
      <c r="L11" s="93">
        <v>90.4</v>
      </c>
      <c r="M11" s="148">
        <v>114.84</v>
      </c>
      <c r="N11" s="93">
        <v>-1.25</v>
      </c>
      <c r="O11" s="148">
        <v>14.5</v>
      </c>
      <c r="P11" s="148">
        <f t="shared" si="0"/>
        <v>25522.46</v>
      </c>
      <c r="Q11" s="350">
        <f t="shared" si="1"/>
        <v>7</v>
      </c>
      <c r="R11" s="22"/>
    </row>
    <row r="12" spans="1:18" ht="15.5" x14ac:dyDescent="0.35">
      <c r="A12" s="187">
        <f t="shared" si="2"/>
        <v>8</v>
      </c>
      <c r="B12" s="120">
        <v>6706</v>
      </c>
      <c r="C12" s="940" t="s">
        <v>436</v>
      </c>
      <c r="D12" s="148">
        <v>-69.930000000000007</v>
      </c>
      <c r="E12" s="93">
        <v>232.86</v>
      </c>
      <c r="F12" s="148">
        <v>-85.51</v>
      </c>
      <c r="G12" s="148">
        <v>1.26</v>
      </c>
      <c r="H12" s="148">
        <v>-43.23</v>
      </c>
      <c r="I12" s="148">
        <v>-97.03</v>
      </c>
      <c r="J12" s="93">
        <v>0</v>
      </c>
      <c r="K12" s="148">
        <v>-106.39</v>
      </c>
      <c r="L12" s="93">
        <v>-123.62</v>
      </c>
      <c r="M12" s="148">
        <v>-169.99</v>
      </c>
      <c r="N12" s="93">
        <v>0.41</v>
      </c>
      <c r="O12" s="148">
        <v>-433.69</v>
      </c>
      <c r="P12" s="148">
        <f t="shared" si="0"/>
        <v>-894.86</v>
      </c>
      <c r="Q12" s="350">
        <f t="shared" si="1"/>
        <v>8</v>
      </c>
      <c r="R12" s="22"/>
    </row>
    <row r="13" spans="1:18" ht="15.5" x14ac:dyDescent="0.35">
      <c r="A13" s="187">
        <f t="shared" si="2"/>
        <v>9</v>
      </c>
      <c r="B13" s="527">
        <v>6788</v>
      </c>
      <c r="C13" s="940" t="s">
        <v>437</v>
      </c>
      <c r="D13" s="148">
        <v>-2331.54</v>
      </c>
      <c r="E13" s="93">
        <v>-15115.75</v>
      </c>
      <c r="F13" s="148">
        <v>6731.19</v>
      </c>
      <c r="G13" s="148">
        <v>-10102.709999999999</v>
      </c>
      <c r="H13" s="148">
        <v>1305.7</v>
      </c>
      <c r="I13" s="148">
        <v>116128.09</v>
      </c>
      <c r="J13" s="93">
        <v>772.52</v>
      </c>
      <c r="K13" s="148">
        <v>-1376.5</v>
      </c>
      <c r="L13" s="93">
        <v>-11201.81</v>
      </c>
      <c r="M13" s="148">
        <v>8490.18</v>
      </c>
      <c r="N13" s="93">
        <v>-23688.21</v>
      </c>
      <c r="O13" s="148">
        <v>-13228.14</v>
      </c>
      <c r="P13" s="148">
        <f t="shared" si="0"/>
        <v>56383.020000000004</v>
      </c>
      <c r="Q13" s="350">
        <f t="shared" si="1"/>
        <v>9</v>
      </c>
      <c r="R13" s="22"/>
    </row>
    <row r="14" spans="1:18" ht="16" thickBot="1" x14ac:dyDescent="0.4">
      <c r="A14" s="642">
        <f t="shared" si="2"/>
        <v>10</v>
      </c>
      <c r="B14" s="121">
        <v>6791</v>
      </c>
      <c r="C14" s="76" t="s">
        <v>438</v>
      </c>
      <c r="D14" s="721">
        <v>-0.01</v>
      </c>
      <c r="E14" s="939">
        <v>0</v>
      </c>
      <c r="F14" s="721">
        <v>0</v>
      </c>
      <c r="G14" s="721">
        <v>0</v>
      </c>
      <c r="H14" s="721">
        <v>0</v>
      </c>
      <c r="I14" s="721">
        <v>0.03</v>
      </c>
      <c r="J14" s="939">
        <v>0</v>
      </c>
      <c r="K14" s="721">
        <v>0.01</v>
      </c>
      <c r="L14" s="939">
        <v>0</v>
      </c>
      <c r="M14" s="721">
        <v>-0.04</v>
      </c>
      <c r="N14" s="939">
        <v>0</v>
      </c>
      <c r="O14" s="721">
        <v>-0.75</v>
      </c>
      <c r="P14" s="721">
        <f t="shared" si="0"/>
        <v>-0.76</v>
      </c>
      <c r="Q14" s="464">
        <f t="shared" si="1"/>
        <v>10</v>
      </c>
      <c r="R14" s="22"/>
    </row>
    <row r="15" spans="1:18" s="532" customFormat="1" ht="15.5" x14ac:dyDescent="0.35">
      <c r="A15" s="956">
        <f t="shared" si="2"/>
        <v>11</v>
      </c>
      <c r="B15" s="531">
        <v>6947</v>
      </c>
      <c r="C15" s="951" t="s">
        <v>439</v>
      </c>
      <c r="D15" s="722">
        <v>-219793.31</v>
      </c>
      <c r="E15" s="959">
        <v>-64429.04</v>
      </c>
      <c r="F15" s="722">
        <v>-120677.19</v>
      </c>
      <c r="G15" s="722">
        <v>-106995.18</v>
      </c>
      <c r="H15" s="722">
        <v>-118150.06</v>
      </c>
      <c r="I15" s="722">
        <v>-149894.63</v>
      </c>
      <c r="J15" s="959">
        <v>-150623.51</v>
      </c>
      <c r="K15" s="722">
        <v>-143818.10999999999</v>
      </c>
      <c r="L15" s="959">
        <v>-299725.23</v>
      </c>
      <c r="M15" s="927">
        <v>-267770.96000000002</v>
      </c>
      <c r="N15" s="959">
        <v>-335470.99</v>
      </c>
      <c r="O15" s="722">
        <v>-568627.81000000006</v>
      </c>
      <c r="P15" s="722">
        <f t="shared" si="0"/>
        <v>-2545976.02</v>
      </c>
      <c r="Q15" s="350">
        <f t="shared" si="1"/>
        <v>11</v>
      </c>
      <c r="R15" s="193"/>
    </row>
    <row r="16" spans="1:18" ht="31" x14ac:dyDescent="0.35">
      <c r="A16" s="957">
        <f t="shared" si="2"/>
        <v>12</v>
      </c>
      <c r="B16" s="905">
        <v>6977</v>
      </c>
      <c r="C16" s="952" t="s">
        <v>440</v>
      </c>
      <c r="D16" s="148">
        <v>11.07</v>
      </c>
      <c r="E16" s="93">
        <v>5.6</v>
      </c>
      <c r="F16" s="148">
        <v>-6.44</v>
      </c>
      <c r="G16" s="148">
        <v>0</v>
      </c>
      <c r="H16" s="148">
        <v>-73.209999999999994</v>
      </c>
      <c r="I16" s="148">
        <v>-138.88999999999999</v>
      </c>
      <c r="J16" s="93">
        <v>0</v>
      </c>
      <c r="K16" s="148">
        <v>-14.07</v>
      </c>
      <c r="L16" s="93">
        <v>-213.4</v>
      </c>
      <c r="M16" s="148">
        <v>-18.8</v>
      </c>
      <c r="N16" s="93">
        <v>-115.95</v>
      </c>
      <c r="O16" s="148">
        <v>2.44</v>
      </c>
      <c r="P16" s="148">
        <f t="shared" si="0"/>
        <v>-561.65</v>
      </c>
      <c r="Q16" s="350">
        <f t="shared" si="1"/>
        <v>12</v>
      </c>
      <c r="R16" s="22"/>
    </row>
    <row r="17" spans="1:18" ht="15.5" x14ac:dyDescent="0.35">
      <c r="A17" s="187">
        <f t="shared" si="2"/>
        <v>13</v>
      </c>
      <c r="B17" s="120">
        <v>7070</v>
      </c>
      <c r="C17" s="949" t="s">
        <v>441</v>
      </c>
      <c r="D17" s="148">
        <v>0</v>
      </c>
      <c r="E17" s="93">
        <v>0</v>
      </c>
      <c r="F17" s="148">
        <v>-252.75</v>
      </c>
      <c r="G17" s="148">
        <v>0</v>
      </c>
      <c r="H17" s="148">
        <v>0</v>
      </c>
      <c r="I17" s="148">
        <v>0</v>
      </c>
      <c r="J17" s="93">
        <v>0</v>
      </c>
      <c r="K17" s="148">
        <v>0</v>
      </c>
      <c r="L17" s="93">
        <v>77.760000000000005</v>
      </c>
      <c r="M17" s="148">
        <v>0</v>
      </c>
      <c r="N17" s="93">
        <v>0</v>
      </c>
      <c r="O17" s="148">
        <v>-36137.230000000003</v>
      </c>
      <c r="P17" s="148">
        <f t="shared" si="0"/>
        <v>-36312.22</v>
      </c>
      <c r="Q17" s="350">
        <f t="shared" si="1"/>
        <v>13</v>
      </c>
      <c r="R17" s="22"/>
    </row>
    <row r="18" spans="1:18" ht="15.5" x14ac:dyDescent="0.35">
      <c r="A18" s="187">
        <f t="shared" si="2"/>
        <v>14</v>
      </c>
      <c r="B18" s="120">
        <v>7078</v>
      </c>
      <c r="C18" s="940" t="s">
        <v>442</v>
      </c>
      <c r="D18" s="148">
        <v>74.55</v>
      </c>
      <c r="E18" s="93">
        <v>129.35</v>
      </c>
      <c r="F18" s="148">
        <v>-133.94</v>
      </c>
      <c r="G18" s="148">
        <v>-1789.61</v>
      </c>
      <c r="H18" s="148">
        <v>-76.33</v>
      </c>
      <c r="I18" s="148">
        <v>349.31</v>
      </c>
      <c r="J18" s="93">
        <v>12.33</v>
      </c>
      <c r="K18" s="148">
        <v>128.22999999999999</v>
      </c>
      <c r="L18" s="93">
        <v>169.59</v>
      </c>
      <c r="M18" s="148">
        <v>-4.79</v>
      </c>
      <c r="N18" s="93">
        <v>119.14</v>
      </c>
      <c r="O18" s="148">
        <v>119.68</v>
      </c>
      <c r="P18" s="148">
        <f t="shared" si="0"/>
        <v>-902.49</v>
      </c>
      <c r="Q18" s="350">
        <f t="shared" si="1"/>
        <v>14</v>
      </c>
      <c r="R18" s="22"/>
    </row>
    <row r="19" spans="1:18" ht="16" thickBot="1" x14ac:dyDescent="0.4">
      <c r="A19" s="642">
        <f t="shared" si="2"/>
        <v>15</v>
      </c>
      <c r="B19" s="121">
        <v>7989</v>
      </c>
      <c r="C19" s="80" t="s">
        <v>443</v>
      </c>
      <c r="D19" s="721">
        <f>-7495.2-'WP 12 PTO'!D7</f>
        <v>-0.38000000000010914</v>
      </c>
      <c r="E19" s="939">
        <f>-15044.85-'WP 12 PTO'!E7</f>
        <v>-16.460000000000946</v>
      </c>
      <c r="F19" s="721">
        <f>-7738.37-'WP 12 PTO'!F7</f>
        <v>-649.31999999999971</v>
      </c>
      <c r="G19" s="721">
        <f>-3304.92-'WP 12 PTO'!G7</f>
        <v>0</v>
      </c>
      <c r="H19" s="721">
        <f>-248.91-'WP 12 PTO'!H7</f>
        <v>-1.6200000000000045</v>
      </c>
      <c r="I19" s="721">
        <f>-975.52-'WP 12 PTO'!I7</f>
        <v>-51.529999999999973</v>
      </c>
      <c r="J19" s="939">
        <f>-707.26-'WP 12 PTO'!J7</f>
        <v>-58.509999999999991</v>
      </c>
      <c r="K19" s="721">
        <f>-534.89-'WP 12 PTO'!K7</f>
        <v>-12.370000000000005</v>
      </c>
      <c r="L19" s="939">
        <f>-831.23-'WP 12 PTO'!L7</f>
        <v>-32.450000000000045</v>
      </c>
      <c r="M19" s="721">
        <f>-6111.83-'WP 12 PTO'!M7</f>
        <v>-68.010000000000218</v>
      </c>
      <c r="N19" s="939">
        <f>-5398.63-'WP 12 PTO'!N7</f>
        <v>-161.57999999999993</v>
      </c>
      <c r="O19" s="721">
        <f>-5299.8-'WP 12 PTO'!O7</f>
        <v>0</v>
      </c>
      <c r="P19" s="721">
        <f t="shared" si="0"/>
        <v>-1052.2300000000009</v>
      </c>
      <c r="Q19" s="464">
        <f t="shared" si="1"/>
        <v>15</v>
      </c>
      <c r="R19" s="22"/>
    </row>
    <row r="20" spans="1:18" ht="15.5" x14ac:dyDescent="0.35">
      <c r="A20" s="187">
        <f t="shared" si="2"/>
        <v>16</v>
      </c>
      <c r="B20" s="120">
        <v>8526</v>
      </c>
      <c r="C20" s="940" t="s">
        <v>444</v>
      </c>
      <c r="D20" s="148">
        <f>-1671.3-'WP 12 PTO'!D11</f>
        <v>-1633.54</v>
      </c>
      <c r="E20" s="93">
        <v>0</v>
      </c>
      <c r="F20" s="148">
        <v>0</v>
      </c>
      <c r="G20" s="148">
        <v>0</v>
      </c>
      <c r="H20" s="148">
        <v>0</v>
      </c>
      <c r="I20" s="148">
        <v>0</v>
      </c>
      <c r="J20" s="93">
        <v>0</v>
      </c>
      <c r="K20" s="148">
        <v>0</v>
      </c>
      <c r="L20" s="93">
        <v>0</v>
      </c>
      <c r="M20" s="148">
        <v>0</v>
      </c>
      <c r="N20" s="93">
        <v>0</v>
      </c>
      <c r="O20" s="148">
        <f>-654047.45-'WP 12 PTO'!O11</f>
        <v>0</v>
      </c>
      <c r="P20" s="148">
        <f t="shared" si="0"/>
        <v>-1633.54</v>
      </c>
      <c r="Q20" s="350">
        <f t="shared" si="1"/>
        <v>16</v>
      </c>
      <c r="R20" s="22"/>
    </row>
    <row r="21" spans="1:18" ht="15.5" x14ac:dyDescent="0.35">
      <c r="A21" s="187">
        <f t="shared" si="2"/>
        <v>17</v>
      </c>
      <c r="B21" s="120">
        <v>8989</v>
      </c>
      <c r="C21" s="940" t="s">
        <v>481</v>
      </c>
      <c r="D21" s="148">
        <v>0</v>
      </c>
      <c r="E21" s="93">
        <v>0</v>
      </c>
      <c r="F21" s="148">
        <v>6178.79</v>
      </c>
      <c r="G21" s="148"/>
      <c r="H21" s="148"/>
      <c r="I21" s="148"/>
      <c r="J21" s="93"/>
      <c r="K21" s="148"/>
      <c r="L21" s="93"/>
      <c r="M21" s="148">
        <v>0.34</v>
      </c>
      <c r="N21" s="93">
        <v>0</v>
      </c>
      <c r="O21" s="148">
        <v>0</v>
      </c>
      <c r="P21" s="148">
        <f t="shared" si="0"/>
        <v>6179.13</v>
      </c>
      <c r="Q21" s="350">
        <f t="shared" si="1"/>
        <v>17</v>
      </c>
      <c r="R21" s="22"/>
    </row>
    <row r="22" spans="1:18" ht="15.5" x14ac:dyDescent="0.35">
      <c r="A22" s="187">
        <f>A21+1</f>
        <v>18</v>
      </c>
      <c r="B22" s="120">
        <v>8999</v>
      </c>
      <c r="C22" s="940" t="s">
        <v>480</v>
      </c>
      <c r="D22" s="148">
        <v>0</v>
      </c>
      <c r="E22" s="93">
        <v>0</v>
      </c>
      <c r="F22" s="148">
        <v>0</v>
      </c>
      <c r="G22" s="148">
        <v>0</v>
      </c>
      <c r="H22" s="148">
        <v>0</v>
      </c>
      <c r="I22" s="148">
        <v>0</v>
      </c>
      <c r="J22" s="93">
        <v>0</v>
      </c>
      <c r="K22" s="148">
        <v>0</v>
      </c>
      <c r="L22" s="93">
        <v>0</v>
      </c>
      <c r="M22" s="148">
        <v>0</v>
      </c>
      <c r="N22" s="93">
        <v>0</v>
      </c>
      <c r="O22" s="148">
        <v>0</v>
      </c>
      <c r="P22" s="148">
        <f t="shared" si="0"/>
        <v>0</v>
      </c>
      <c r="Q22" s="350">
        <f t="shared" si="1"/>
        <v>18</v>
      </c>
      <c r="R22" s="22"/>
    </row>
    <row r="23" spans="1:18" ht="16" thickBot="1" x14ac:dyDescent="0.4">
      <c r="A23" s="187">
        <f>A22+1</f>
        <v>19</v>
      </c>
      <c r="B23" s="120"/>
      <c r="C23" s="940"/>
      <c r="D23" s="721"/>
      <c r="E23" s="939"/>
      <c r="F23" s="721"/>
      <c r="G23" s="721"/>
      <c r="H23" s="721"/>
      <c r="I23" s="721"/>
      <c r="J23" s="939"/>
      <c r="K23" s="148"/>
      <c r="L23" s="93"/>
      <c r="M23" s="148"/>
      <c r="N23" s="93"/>
      <c r="O23" s="148"/>
      <c r="P23" s="721"/>
      <c r="Q23" s="350">
        <f t="shared" si="1"/>
        <v>19</v>
      </c>
      <c r="R23" s="22"/>
    </row>
    <row r="24" spans="1:18" ht="16" thickBot="1" x14ac:dyDescent="0.4">
      <c r="A24" s="930">
        <f>A23+1</f>
        <v>20</v>
      </c>
      <c r="B24" s="931"/>
      <c r="C24" s="932" t="s">
        <v>445</v>
      </c>
      <c r="D24" s="933"/>
      <c r="E24" s="960"/>
      <c r="F24" s="933"/>
      <c r="G24" s="933"/>
      <c r="H24" s="933"/>
      <c r="I24" s="933"/>
      <c r="J24" s="960"/>
      <c r="K24" s="933"/>
      <c r="L24" s="960"/>
      <c r="M24" s="933"/>
      <c r="N24" s="960"/>
      <c r="O24" s="933"/>
      <c r="P24" s="934"/>
      <c r="Q24" s="966">
        <f t="shared" si="1"/>
        <v>20</v>
      </c>
    </row>
    <row r="25" spans="1:18" ht="15.5" x14ac:dyDescent="0.35">
      <c r="A25" s="898">
        <f t="shared" si="2"/>
        <v>21</v>
      </c>
      <c r="B25" s="899" t="s">
        <v>446</v>
      </c>
      <c r="C25" s="940" t="s">
        <v>447</v>
      </c>
      <c r="D25" s="148">
        <v>0</v>
      </c>
      <c r="E25" s="93">
        <v>0</v>
      </c>
      <c r="F25" s="148">
        <v>0</v>
      </c>
      <c r="G25" s="148">
        <v>0</v>
      </c>
      <c r="H25" s="148">
        <v>0</v>
      </c>
      <c r="I25" s="148">
        <v>0</v>
      </c>
      <c r="J25" s="93">
        <v>0</v>
      </c>
      <c r="K25" s="148">
        <v>0</v>
      </c>
      <c r="L25" s="93">
        <v>0</v>
      </c>
      <c r="M25" s="148">
        <v>0</v>
      </c>
      <c r="N25" s="93">
        <v>89.49</v>
      </c>
      <c r="O25" s="148">
        <v>0</v>
      </c>
      <c r="P25" s="148">
        <f t="shared" ref="P25:P47" si="3">SUM(D25:O25)</f>
        <v>89.49</v>
      </c>
      <c r="Q25" s="350">
        <f t="shared" si="1"/>
        <v>21</v>
      </c>
    </row>
    <row r="26" spans="1:18" ht="15.5" x14ac:dyDescent="0.35">
      <c r="A26" s="187">
        <f t="shared" si="2"/>
        <v>22</v>
      </c>
      <c r="B26" s="527" t="s">
        <v>448</v>
      </c>
      <c r="C26" s="940" t="s">
        <v>449</v>
      </c>
      <c r="D26" s="148">
        <v>19.98</v>
      </c>
      <c r="E26" s="93">
        <v>0</v>
      </c>
      <c r="F26" s="148">
        <v>35.49</v>
      </c>
      <c r="G26" s="148">
        <v>0</v>
      </c>
      <c r="H26" s="148">
        <v>35.49</v>
      </c>
      <c r="I26" s="148">
        <v>59.71</v>
      </c>
      <c r="J26" s="93">
        <v>0</v>
      </c>
      <c r="K26" s="148">
        <v>14.64</v>
      </c>
      <c r="L26" s="93">
        <v>58.82</v>
      </c>
      <c r="M26" s="148">
        <v>17.739999999999998</v>
      </c>
      <c r="N26" s="93">
        <v>0</v>
      </c>
      <c r="O26" s="148">
        <v>70.97</v>
      </c>
      <c r="P26" s="148">
        <f t="shared" si="3"/>
        <v>312.84000000000003</v>
      </c>
      <c r="Q26" s="350">
        <f t="shared" si="1"/>
        <v>22</v>
      </c>
      <c r="R26" s="22"/>
    </row>
    <row r="27" spans="1:18" ht="15.5" x14ac:dyDescent="0.35">
      <c r="A27" s="187">
        <f>A26+1</f>
        <v>23</v>
      </c>
      <c r="B27" s="527">
        <v>4515</v>
      </c>
      <c r="C27" s="940" t="s">
        <v>450</v>
      </c>
      <c r="D27" s="148">
        <v>33.28</v>
      </c>
      <c r="E27" s="93">
        <v>28.82</v>
      </c>
      <c r="F27" s="148">
        <v>45.26</v>
      </c>
      <c r="G27" s="148">
        <v>38.880000000000003</v>
      </c>
      <c r="H27" s="148">
        <v>40.56</v>
      </c>
      <c r="I27" s="148">
        <v>42.83</v>
      </c>
      <c r="J27" s="93">
        <v>29.830000000000002</v>
      </c>
      <c r="K27" s="148">
        <v>25.28</v>
      </c>
      <c r="L27" s="93">
        <v>33</v>
      </c>
      <c r="M27" s="148">
        <v>32.89</v>
      </c>
      <c r="N27" s="93">
        <v>42</v>
      </c>
      <c r="O27" s="148">
        <v>33.14</v>
      </c>
      <c r="P27" s="148">
        <f t="shared" si="3"/>
        <v>425.77</v>
      </c>
      <c r="Q27" s="350">
        <f t="shared" si="1"/>
        <v>23</v>
      </c>
      <c r="R27" s="22"/>
    </row>
    <row r="28" spans="1:18" ht="15.5" x14ac:dyDescent="0.35">
      <c r="A28" s="187">
        <f t="shared" si="2"/>
        <v>24</v>
      </c>
      <c r="B28" s="120">
        <v>4560</v>
      </c>
      <c r="C28" s="940" t="s">
        <v>451</v>
      </c>
      <c r="D28" s="148">
        <v>1529.7199999999998</v>
      </c>
      <c r="E28" s="93">
        <v>8351.3900000000012</v>
      </c>
      <c r="F28" s="148">
        <v>3817.25</v>
      </c>
      <c r="G28" s="148">
        <v>2501.7699999999995</v>
      </c>
      <c r="H28" s="148">
        <v>1150.5899999999999</v>
      </c>
      <c r="I28" s="148">
        <v>5705.45</v>
      </c>
      <c r="J28" s="93">
        <v>166.70000000000002</v>
      </c>
      <c r="K28" s="148">
        <v>291.52</v>
      </c>
      <c r="L28" s="93">
        <v>841.73</v>
      </c>
      <c r="M28" s="148">
        <v>1183.8599999999999</v>
      </c>
      <c r="N28" s="93">
        <v>1149.99</v>
      </c>
      <c r="O28" s="148">
        <v>1212.19</v>
      </c>
      <c r="P28" s="148">
        <f t="shared" si="3"/>
        <v>27902.160000000003</v>
      </c>
      <c r="Q28" s="350">
        <f t="shared" si="1"/>
        <v>24</v>
      </c>
      <c r="R28" s="22"/>
    </row>
    <row r="29" spans="1:18" ht="16" thickBot="1" x14ac:dyDescent="0.4">
      <c r="A29" s="642">
        <f t="shared" si="2"/>
        <v>25</v>
      </c>
      <c r="B29" s="121">
        <v>4561</v>
      </c>
      <c r="C29" s="80" t="s">
        <v>452</v>
      </c>
      <c r="D29" s="721">
        <v>171.60000000000002</v>
      </c>
      <c r="E29" s="939">
        <v>282.33999999999997</v>
      </c>
      <c r="F29" s="721">
        <v>551.64</v>
      </c>
      <c r="G29" s="721">
        <v>263.83999999999997</v>
      </c>
      <c r="H29" s="721">
        <v>359.11</v>
      </c>
      <c r="I29" s="721">
        <v>549.74</v>
      </c>
      <c r="J29" s="939">
        <v>100.81</v>
      </c>
      <c r="K29" s="721">
        <v>49.3</v>
      </c>
      <c r="L29" s="939">
        <v>332.67</v>
      </c>
      <c r="M29" s="721">
        <v>137.94999999999999</v>
      </c>
      <c r="N29" s="939">
        <v>328.67</v>
      </c>
      <c r="O29" s="721">
        <v>134.68</v>
      </c>
      <c r="P29" s="721">
        <f t="shared" si="3"/>
        <v>3262.3499999999995</v>
      </c>
      <c r="Q29" s="464">
        <f t="shared" si="1"/>
        <v>25</v>
      </c>
      <c r="R29" s="22"/>
    </row>
    <row r="30" spans="1:18" ht="15.5" x14ac:dyDescent="0.35">
      <c r="A30" s="187">
        <f t="shared" si="2"/>
        <v>26</v>
      </c>
      <c r="B30" s="120">
        <v>4563</v>
      </c>
      <c r="C30" s="940" t="s">
        <v>453</v>
      </c>
      <c r="D30" s="148">
        <v>32619.129999999997</v>
      </c>
      <c r="E30" s="93">
        <v>19383.14</v>
      </c>
      <c r="F30" s="148">
        <v>30056.370000000003</v>
      </c>
      <c r="G30" s="148">
        <v>24936.36</v>
      </c>
      <c r="H30" s="148">
        <v>23878.52</v>
      </c>
      <c r="I30" s="148">
        <v>29874.600000000002</v>
      </c>
      <c r="J30" s="93">
        <v>26381.940000000002</v>
      </c>
      <c r="K30" s="148">
        <v>25607.84</v>
      </c>
      <c r="L30" s="93">
        <v>34027.74</v>
      </c>
      <c r="M30" s="148">
        <v>31438.44</v>
      </c>
      <c r="N30" s="93">
        <v>46476.77</v>
      </c>
      <c r="O30" s="148">
        <v>37269.359999999993</v>
      </c>
      <c r="P30" s="148">
        <f t="shared" si="3"/>
        <v>361950.20999999996</v>
      </c>
      <c r="Q30" s="350">
        <f t="shared" si="1"/>
        <v>26</v>
      </c>
      <c r="R30" s="22"/>
    </row>
    <row r="31" spans="1:18" ht="15.5" x14ac:dyDescent="0.35">
      <c r="A31" s="187">
        <f t="shared" si="2"/>
        <v>27</v>
      </c>
      <c r="B31" s="120">
        <v>4575</v>
      </c>
      <c r="C31" s="940" t="s">
        <v>454</v>
      </c>
      <c r="D31" s="148">
        <v>1500</v>
      </c>
      <c r="E31" s="93">
        <v>1500</v>
      </c>
      <c r="F31" s="148">
        <v>1500</v>
      </c>
      <c r="G31" s="148">
        <v>1500</v>
      </c>
      <c r="H31" s="148">
        <v>1500</v>
      </c>
      <c r="I31" s="148">
        <v>1500</v>
      </c>
      <c r="J31" s="93">
        <v>1500</v>
      </c>
      <c r="K31" s="148">
        <v>1500</v>
      </c>
      <c r="L31" s="93">
        <v>1500</v>
      </c>
      <c r="M31" s="148">
        <v>1500</v>
      </c>
      <c r="N31" s="93">
        <v>1500</v>
      </c>
      <c r="O31" s="148">
        <v>1500</v>
      </c>
      <c r="P31" s="148">
        <f t="shared" si="3"/>
        <v>18000</v>
      </c>
      <c r="Q31" s="350">
        <f t="shared" si="1"/>
        <v>27</v>
      </c>
      <c r="R31" s="22"/>
    </row>
    <row r="32" spans="1:18" ht="17.25" customHeight="1" x14ac:dyDescent="0.35">
      <c r="A32" s="187">
        <f t="shared" si="2"/>
        <v>28</v>
      </c>
      <c r="B32" s="527">
        <v>6196</v>
      </c>
      <c r="C32" s="940" t="s">
        <v>455</v>
      </c>
      <c r="D32" s="148">
        <v>-7.95</v>
      </c>
      <c r="E32" s="93">
        <v>-58.149999999999991</v>
      </c>
      <c r="F32" s="148">
        <v>5.28</v>
      </c>
      <c r="G32" s="148">
        <v>0</v>
      </c>
      <c r="H32" s="148">
        <v>18.61</v>
      </c>
      <c r="I32" s="148">
        <v>0.03</v>
      </c>
      <c r="J32" s="93">
        <v>0</v>
      </c>
      <c r="K32" s="148">
        <v>2.1</v>
      </c>
      <c r="L32" s="93">
        <v>4.9000000000000004</v>
      </c>
      <c r="M32" s="148">
        <v>30.75</v>
      </c>
      <c r="N32" s="93">
        <v>0.22</v>
      </c>
      <c r="O32" s="148">
        <v>-1.17</v>
      </c>
      <c r="P32" s="148">
        <f t="shared" si="3"/>
        <v>-5.3799999999999928</v>
      </c>
      <c r="Q32" s="350">
        <f t="shared" si="1"/>
        <v>28</v>
      </c>
      <c r="R32" s="22"/>
    </row>
    <row r="33" spans="1:18" ht="15.5" x14ac:dyDescent="0.35">
      <c r="A33" s="187">
        <f t="shared" si="2"/>
        <v>29</v>
      </c>
      <c r="B33" s="120">
        <v>6296</v>
      </c>
      <c r="C33" s="940" t="s">
        <v>456</v>
      </c>
      <c r="D33" s="148">
        <v>-6.47</v>
      </c>
      <c r="E33" s="93">
        <v>-53.81</v>
      </c>
      <c r="F33" s="148">
        <v>0.17</v>
      </c>
      <c r="G33" s="148">
        <v>0</v>
      </c>
      <c r="H33" s="148">
        <v>0.82000000000000006</v>
      </c>
      <c r="I33" s="148">
        <v>0.19</v>
      </c>
      <c r="J33" s="93">
        <v>0</v>
      </c>
      <c r="K33" s="148">
        <v>6.0000000000000005E-2</v>
      </c>
      <c r="L33" s="93">
        <v>0.16</v>
      </c>
      <c r="M33" s="148">
        <v>29.58</v>
      </c>
      <c r="N33" s="93">
        <v>-5.19</v>
      </c>
      <c r="O33" s="148">
        <v>-0.1</v>
      </c>
      <c r="P33" s="148">
        <f t="shared" si="3"/>
        <v>-34.590000000000003</v>
      </c>
      <c r="Q33" s="350">
        <f t="shared" si="1"/>
        <v>29</v>
      </c>
      <c r="R33" s="22"/>
    </row>
    <row r="34" spans="1:18" ht="16" thickBot="1" x14ac:dyDescent="0.4">
      <c r="A34" s="642">
        <f t="shared" si="2"/>
        <v>30</v>
      </c>
      <c r="B34" s="121">
        <v>6456</v>
      </c>
      <c r="C34" s="80" t="s">
        <v>457</v>
      </c>
      <c r="D34" s="721">
        <v>-175.17999999999998</v>
      </c>
      <c r="E34" s="939">
        <v>212.04000000000002</v>
      </c>
      <c r="F34" s="721">
        <v>-80624.159999999989</v>
      </c>
      <c r="G34" s="721">
        <v>0</v>
      </c>
      <c r="H34" s="721">
        <v>-823.85</v>
      </c>
      <c r="I34" s="721">
        <v>1471.64</v>
      </c>
      <c r="J34" s="939">
        <v>0</v>
      </c>
      <c r="K34" s="721">
        <v>1533.99</v>
      </c>
      <c r="L34" s="939">
        <v>36317.79</v>
      </c>
      <c r="M34" s="721">
        <v>-5921.79</v>
      </c>
      <c r="N34" s="939">
        <v>0</v>
      </c>
      <c r="O34" s="721"/>
      <c r="P34" s="721">
        <f t="shared" si="3"/>
        <v>-48009.51999999999</v>
      </c>
      <c r="Q34" s="464">
        <f t="shared" si="1"/>
        <v>30</v>
      </c>
      <c r="R34" s="22"/>
    </row>
    <row r="35" spans="1:18" ht="15.5" x14ac:dyDescent="0.35">
      <c r="A35" s="187">
        <f t="shared" si="2"/>
        <v>31</v>
      </c>
      <c r="B35" s="527">
        <v>6460</v>
      </c>
      <c r="C35" s="940" t="s">
        <v>458</v>
      </c>
      <c r="D35" s="148">
        <v>-753.3</v>
      </c>
      <c r="E35" s="93">
        <v>-3433.03</v>
      </c>
      <c r="F35" s="148">
        <v>17900.18</v>
      </c>
      <c r="G35" s="148">
        <v>-13167.17</v>
      </c>
      <c r="H35" s="148">
        <v>10118.36</v>
      </c>
      <c r="I35" s="148">
        <v>-130785.95</v>
      </c>
      <c r="J35" s="93">
        <v>-1497.69</v>
      </c>
      <c r="K35" s="148">
        <v>12225.63</v>
      </c>
      <c r="L35" s="93">
        <v>33176.379999999997</v>
      </c>
      <c r="M35" s="148">
        <v>21727.55</v>
      </c>
      <c r="N35" s="93">
        <v>73886.31</v>
      </c>
      <c r="O35" s="148">
        <v>94465.739999999991</v>
      </c>
      <c r="P35" s="148">
        <f t="shared" si="3"/>
        <v>113863.01</v>
      </c>
      <c r="Q35" s="350">
        <f t="shared" si="1"/>
        <v>31</v>
      </c>
      <c r="R35" s="22"/>
    </row>
    <row r="36" spans="1:18" ht="15.5" x14ac:dyDescent="0.35">
      <c r="A36" s="187">
        <f t="shared" si="2"/>
        <v>32</v>
      </c>
      <c r="B36" s="120">
        <v>6470</v>
      </c>
      <c r="C36" s="940" t="s">
        <v>459</v>
      </c>
      <c r="D36" s="148">
        <v>370.07000000000005</v>
      </c>
      <c r="E36" s="93">
        <v>-267.59000000000003</v>
      </c>
      <c r="F36" s="148">
        <v>14937.110000000002</v>
      </c>
      <c r="G36" s="148">
        <v>15391.46</v>
      </c>
      <c r="H36" s="148">
        <v>5677.81</v>
      </c>
      <c r="I36" s="148">
        <v>16102.269999999999</v>
      </c>
      <c r="J36" s="93">
        <v>121.85000000000002</v>
      </c>
      <c r="K36" s="148">
        <v>3863.7699999999995</v>
      </c>
      <c r="L36" s="93">
        <v>2047.5</v>
      </c>
      <c r="M36" s="148">
        <v>457.46</v>
      </c>
      <c r="N36" s="93">
        <v>2521.67</v>
      </c>
      <c r="O36" s="148">
        <v>22950.54</v>
      </c>
      <c r="P36" s="148">
        <f t="shared" si="3"/>
        <v>84173.919999999984</v>
      </c>
      <c r="Q36" s="350">
        <f t="shared" si="1"/>
        <v>32</v>
      </c>
      <c r="R36" s="22"/>
    </row>
    <row r="37" spans="1:18" ht="15.5" x14ac:dyDescent="0.35">
      <c r="A37" s="187">
        <f t="shared" si="2"/>
        <v>33</v>
      </c>
      <c r="B37" s="120">
        <v>6477</v>
      </c>
      <c r="C37" s="940" t="s">
        <v>460</v>
      </c>
      <c r="D37" s="148">
        <v>12.969999999999999</v>
      </c>
      <c r="E37" s="93">
        <v>-692.15</v>
      </c>
      <c r="F37" s="148">
        <v>-57.559999999999995</v>
      </c>
      <c r="G37" s="148">
        <v>0</v>
      </c>
      <c r="H37" s="148">
        <v>96.249999999999986</v>
      </c>
      <c r="I37" s="148">
        <v>398.71</v>
      </c>
      <c r="J37" s="93">
        <v>0</v>
      </c>
      <c r="K37" s="148">
        <v>-189.82000000000002</v>
      </c>
      <c r="L37" s="93">
        <v>1738.93</v>
      </c>
      <c r="M37" s="148">
        <v>837.46</v>
      </c>
      <c r="N37" s="93">
        <v>67.66</v>
      </c>
      <c r="O37" s="148">
        <v>-50.85</v>
      </c>
      <c r="P37" s="148">
        <f t="shared" si="3"/>
        <v>2161.6</v>
      </c>
      <c r="Q37" s="350">
        <f t="shared" si="1"/>
        <v>33</v>
      </c>
      <c r="R37" s="22"/>
    </row>
    <row r="38" spans="1:18" ht="15.5" x14ac:dyDescent="0.35">
      <c r="A38" s="187">
        <f>A37+1</f>
        <v>34</v>
      </c>
      <c r="B38" s="120" t="s">
        <v>461</v>
      </c>
      <c r="C38" s="940" t="s">
        <v>462</v>
      </c>
      <c r="D38" s="148">
        <v>0</v>
      </c>
      <c r="E38" s="93">
        <v>33.58</v>
      </c>
      <c r="F38" s="148">
        <v>0</v>
      </c>
      <c r="G38" s="148">
        <v>0</v>
      </c>
      <c r="H38" s="148">
        <v>0</v>
      </c>
      <c r="I38" s="148">
        <v>0</v>
      </c>
      <c r="J38" s="93">
        <v>0</v>
      </c>
      <c r="K38" s="148">
        <v>0</v>
      </c>
      <c r="L38" s="93">
        <v>0</v>
      </c>
      <c r="M38" s="148">
        <v>-27.3</v>
      </c>
      <c r="N38" s="93">
        <v>0</v>
      </c>
      <c r="O38" s="148"/>
      <c r="P38" s="148">
        <f t="shared" si="3"/>
        <v>6.2799999999999976</v>
      </c>
      <c r="Q38" s="350">
        <f t="shared" si="1"/>
        <v>34</v>
      </c>
      <c r="R38" s="22"/>
    </row>
    <row r="39" spans="1:18" ht="16" thickBot="1" x14ac:dyDescent="0.4">
      <c r="A39" s="642">
        <f t="shared" si="2"/>
        <v>35</v>
      </c>
      <c r="B39" s="121">
        <v>6636</v>
      </c>
      <c r="C39" s="80" t="s">
        <v>463</v>
      </c>
      <c r="D39" s="721">
        <v>0</v>
      </c>
      <c r="E39" s="939">
        <v>0</v>
      </c>
      <c r="F39" s="721">
        <v>0.24</v>
      </c>
      <c r="G39" s="721">
        <v>0</v>
      </c>
      <c r="H39" s="721">
        <v>0</v>
      </c>
      <c r="I39" s="721">
        <v>0</v>
      </c>
      <c r="J39" s="939">
        <v>0</v>
      </c>
      <c r="K39" s="721">
        <v>0</v>
      </c>
      <c r="L39" s="939">
        <v>0</v>
      </c>
      <c r="M39" s="721">
        <v>0</v>
      </c>
      <c r="N39" s="939">
        <v>0</v>
      </c>
      <c r="O39" s="721"/>
      <c r="P39" s="721">
        <f t="shared" si="3"/>
        <v>0.24</v>
      </c>
      <c r="Q39" s="464">
        <f t="shared" si="1"/>
        <v>35</v>
      </c>
      <c r="R39" s="22"/>
    </row>
    <row r="40" spans="1:18" ht="15.5" x14ac:dyDescent="0.35">
      <c r="A40" s="187">
        <f t="shared" si="2"/>
        <v>36</v>
      </c>
      <c r="B40" s="120">
        <v>6678</v>
      </c>
      <c r="C40" s="940" t="s">
        <v>464</v>
      </c>
      <c r="D40" s="148">
        <v>-8.39</v>
      </c>
      <c r="E40" s="93">
        <v>-49.08</v>
      </c>
      <c r="F40" s="148">
        <v>45.19</v>
      </c>
      <c r="G40" s="148">
        <v>7.0000000000000007E-2</v>
      </c>
      <c r="H40" s="148">
        <v>15.43</v>
      </c>
      <c r="I40" s="148">
        <v>146.85999999999999</v>
      </c>
      <c r="J40" s="93">
        <v>0</v>
      </c>
      <c r="K40" s="148">
        <v>103.46</v>
      </c>
      <c r="L40" s="93">
        <v>145.97999999999999</v>
      </c>
      <c r="M40" s="148">
        <v>111.02</v>
      </c>
      <c r="N40" s="93">
        <v>290.39</v>
      </c>
      <c r="O40" s="148">
        <v>-3.1700000000000004</v>
      </c>
      <c r="P40" s="148">
        <f t="shared" si="3"/>
        <v>797.76</v>
      </c>
      <c r="Q40" s="350">
        <f t="shared" si="1"/>
        <v>36</v>
      </c>
      <c r="R40" s="22"/>
    </row>
    <row r="41" spans="1:18" ht="15.5" x14ac:dyDescent="0.35">
      <c r="A41" s="187">
        <f t="shared" si="2"/>
        <v>37</v>
      </c>
      <c r="B41" s="120">
        <v>6774</v>
      </c>
      <c r="C41" s="940" t="s">
        <v>465</v>
      </c>
      <c r="D41" s="148">
        <v>18.5</v>
      </c>
      <c r="E41" s="93">
        <v>-566.04999999999995</v>
      </c>
      <c r="F41" s="148">
        <v>54.32</v>
      </c>
      <c r="G41" s="148">
        <v>0</v>
      </c>
      <c r="H41" s="148">
        <v>-7.5</v>
      </c>
      <c r="I41" s="148">
        <v>29.919999999999987</v>
      </c>
      <c r="J41" s="93">
        <v>0</v>
      </c>
      <c r="K41" s="148">
        <v>287.47000000000003</v>
      </c>
      <c r="L41" s="93">
        <v>1111.3</v>
      </c>
      <c r="M41" s="148">
        <v>-5</v>
      </c>
      <c r="N41" s="93">
        <v>1745.16</v>
      </c>
      <c r="O41" s="148">
        <v>29.48</v>
      </c>
      <c r="P41" s="148">
        <f t="shared" si="3"/>
        <v>2697.6</v>
      </c>
      <c r="Q41" s="350">
        <f t="shared" si="1"/>
        <v>37</v>
      </c>
      <c r="R41" s="22"/>
    </row>
    <row r="42" spans="1:18" ht="17.25" customHeight="1" x14ac:dyDescent="0.35">
      <c r="A42" s="187">
        <f t="shared" si="2"/>
        <v>38</v>
      </c>
      <c r="B42" s="120">
        <v>6790</v>
      </c>
      <c r="C42" s="940" t="s">
        <v>466</v>
      </c>
      <c r="D42" s="148">
        <v>-489.52</v>
      </c>
      <c r="E42" s="93">
        <v>-3345.25</v>
      </c>
      <c r="F42" s="148">
        <v>6.59</v>
      </c>
      <c r="G42" s="148">
        <v>0</v>
      </c>
      <c r="H42" s="148">
        <v>-100.84</v>
      </c>
      <c r="I42" s="148">
        <v>-166.1</v>
      </c>
      <c r="J42" s="93">
        <v>0</v>
      </c>
      <c r="K42" s="148">
        <v>-39.15</v>
      </c>
      <c r="L42" s="93">
        <v>-249.25</v>
      </c>
      <c r="M42" s="148">
        <v>25.59</v>
      </c>
      <c r="N42" s="93">
        <v>-148.4</v>
      </c>
      <c r="O42" s="148">
        <v>0.79</v>
      </c>
      <c r="P42" s="148">
        <f t="shared" si="3"/>
        <v>-4505.5399999999991</v>
      </c>
      <c r="Q42" s="350">
        <f t="shared" si="1"/>
        <v>38</v>
      </c>
      <c r="R42" s="22"/>
    </row>
    <row r="43" spans="1:18" ht="15.5" x14ac:dyDescent="0.35">
      <c r="A43" s="187">
        <f t="shared" si="2"/>
        <v>39</v>
      </c>
      <c r="B43" s="120">
        <v>6985</v>
      </c>
      <c r="C43" s="940" t="s">
        <v>467</v>
      </c>
      <c r="D43" s="148">
        <v>8583.32</v>
      </c>
      <c r="E43" s="93">
        <v>3761.5899999999997</v>
      </c>
      <c r="F43" s="148">
        <v>-1525.34</v>
      </c>
      <c r="G43" s="148">
        <v>-10871.19</v>
      </c>
      <c r="H43" s="148">
        <v>-962.87999999999988</v>
      </c>
      <c r="I43" s="148">
        <v>5514.08</v>
      </c>
      <c r="J43" s="93">
        <v>9459.5400000000009</v>
      </c>
      <c r="K43" s="148">
        <v>8042.5499999999993</v>
      </c>
      <c r="L43" s="93">
        <v>23009.22</v>
      </c>
      <c r="M43" s="148">
        <v>15747</v>
      </c>
      <c r="N43" s="93">
        <v>27625.45</v>
      </c>
      <c r="O43" s="148">
        <v>34922.620000000003</v>
      </c>
      <c r="P43" s="148">
        <f t="shared" si="3"/>
        <v>123305.95999999999</v>
      </c>
      <c r="Q43" s="350">
        <f t="shared" si="1"/>
        <v>39</v>
      </c>
      <c r="R43" s="22"/>
    </row>
    <row r="44" spans="1:18" ht="16" thickBot="1" x14ac:dyDescent="0.4">
      <c r="A44" s="642">
        <f t="shared" si="2"/>
        <v>40</v>
      </c>
      <c r="B44" s="528">
        <v>7077</v>
      </c>
      <c r="C44" s="80" t="s">
        <v>468</v>
      </c>
      <c r="D44" s="721">
        <v>0</v>
      </c>
      <c r="E44" s="939">
        <v>0</v>
      </c>
      <c r="F44" s="721">
        <v>225.91</v>
      </c>
      <c r="G44" s="721">
        <v>2353.2700000000004</v>
      </c>
      <c r="H44" s="721">
        <v>185.35</v>
      </c>
      <c r="I44" s="721">
        <v>3.17</v>
      </c>
      <c r="J44" s="939">
        <v>-1.1000000000000001</v>
      </c>
      <c r="K44" s="721">
        <v>0.43</v>
      </c>
      <c r="L44" s="939">
        <v>0</v>
      </c>
      <c r="M44" s="721">
        <v>2.52</v>
      </c>
      <c r="N44" s="939">
        <v>0</v>
      </c>
      <c r="O44" s="721">
        <v>479.69</v>
      </c>
      <c r="P44" s="721">
        <f t="shared" si="3"/>
        <v>3249.2400000000002</v>
      </c>
      <c r="Q44" s="350">
        <f t="shared" si="1"/>
        <v>40</v>
      </c>
      <c r="R44" s="22"/>
    </row>
    <row r="45" spans="1:18" ht="15.5" x14ac:dyDescent="0.35">
      <c r="A45" s="187">
        <f t="shared" si="2"/>
        <v>41</v>
      </c>
      <c r="B45" s="120">
        <v>7087</v>
      </c>
      <c r="C45" s="940" t="s">
        <v>469</v>
      </c>
      <c r="D45" s="148">
        <v>0</v>
      </c>
      <c r="E45" s="93">
        <v>0</v>
      </c>
      <c r="F45" s="148">
        <v>0</v>
      </c>
      <c r="G45" s="148">
        <v>0</v>
      </c>
      <c r="H45" s="148">
        <v>0</v>
      </c>
      <c r="I45" s="148">
        <v>0</v>
      </c>
      <c r="J45" s="93">
        <v>0</v>
      </c>
      <c r="K45" s="148">
        <v>0</v>
      </c>
      <c r="L45" s="93">
        <v>0</v>
      </c>
      <c r="M45" s="148">
        <v>-0.04</v>
      </c>
      <c r="N45" s="93">
        <v>0</v>
      </c>
      <c r="O45" s="148"/>
      <c r="P45" s="148">
        <f t="shared" si="3"/>
        <v>-0.04</v>
      </c>
      <c r="Q45" s="350">
        <f t="shared" si="1"/>
        <v>41</v>
      </c>
      <c r="R45" s="22"/>
    </row>
    <row r="46" spans="1:18" ht="15.5" x14ac:dyDescent="0.35">
      <c r="A46" s="187">
        <f t="shared" si="2"/>
        <v>42</v>
      </c>
      <c r="B46" s="120">
        <v>7088</v>
      </c>
      <c r="C46" s="949" t="s">
        <v>470</v>
      </c>
      <c r="D46" s="148">
        <v>0</v>
      </c>
      <c r="E46" s="93">
        <v>0</v>
      </c>
      <c r="F46" s="148">
        <v>0</v>
      </c>
      <c r="G46" s="148">
        <v>7.0000000000000007E-2</v>
      </c>
      <c r="H46" s="148">
        <v>0.01</v>
      </c>
      <c r="I46" s="148">
        <v>0</v>
      </c>
      <c r="J46" s="93">
        <v>0</v>
      </c>
      <c r="K46" s="148">
        <v>0</v>
      </c>
      <c r="L46" s="93">
        <v>-0.05</v>
      </c>
      <c r="M46" s="148">
        <v>0.02</v>
      </c>
      <c r="N46" s="93">
        <v>0</v>
      </c>
      <c r="O46" s="148"/>
      <c r="P46" s="148">
        <f t="shared" si="3"/>
        <v>0.05</v>
      </c>
      <c r="Q46" s="350">
        <f t="shared" si="1"/>
        <v>42</v>
      </c>
      <c r="R46" s="22"/>
    </row>
    <row r="47" spans="1:18" ht="15.5" x14ac:dyDescent="0.35">
      <c r="A47" s="187">
        <f t="shared" si="2"/>
        <v>43</v>
      </c>
      <c r="B47" s="120">
        <v>7999</v>
      </c>
      <c r="C47" s="949" t="s">
        <v>471</v>
      </c>
      <c r="D47" s="950">
        <v>69.330000000000013</v>
      </c>
      <c r="E47" s="482">
        <v>50.85</v>
      </c>
      <c r="F47" s="950">
        <f>980.44-'WP 12 PTO'!F9</f>
        <v>37.910000000000082</v>
      </c>
      <c r="G47" s="950">
        <v>66.94</v>
      </c>
      <c r="H47" s="950">
        <f>1722.53-'WP 12 PTO'!H9</f>
        <v>24.3900000000001</v>
      </c>
      <c r="I47" s="950">
        <f>20999.26-'WP 12 PTO'!I9</f>
        <v>21.139999999999418</v>
      </c>
      <c r="J47" s="482">
        <f>145852.67-'WP 12 PTO'!J9</f>
        <v>22.650000000023283</v>
      </c>
      <c r="K47" s="950">
        <f>38725.93-'WP 12 PTO'!K9</f>
        <v>38.940000000002328</v>
      </c>
      <c r="L47" s="482">
        <v>21.04</v>
      </c>
      <c r="M47" s="950">
        <f>9885.78-'WP 12 PTO'!M9</f>
        <v>390.52000000000044</v>
      </c>
      <c r="N47" s="482">
        <v>71.13</v>
      </c>
      <c r="O47" s="950">
        <f>5090.85-'WP 12 PTO'!O9</f>
        <v>43.119999999999891</v>
      </c>
      <c r="P47" s="950">
        <f t="shared" si="3"/>
        <v>857.96000000002562</v>
      </c>
      <c r="Q47" s="350">
        <f t="shared" si="1"/>
        <v>43</v>
      </c>
      <c r="R47" s="22"/>
    </row>
    <row r="48" spans="1:18" ht="15.5" x14ac:dyDescent="0.35">
      <c r="A48" s="187">
        <f>A47+1</f>
        <v>44</v>
      </c>
      <c r="B48" s="120"/>
      <c r="C48" s="940"/>
      <c r="D48" s="148"/>
      <c r="E48" s="93"/>
      <c r="F48" s="148"/>
      <c r="G48" s="148"/>
      <c r="H48" s="148"/>
      <c r="I48" s="148"/>
      <c r="J48" s="93"/>
      <c r="K48" s="148"/>
      <c r="L48" s="93"/>
      <c r="M48" s="148"/>
      <c r="N48" s="93"/>
      <c r="O48" s="148"/>
      <c r="P48" s="148"/>
      <c r="Q48" s="350">
        <f t="shared" si="1"/>
        <v>44</v>
      </c>
      <c r="R48" s="22"/>
    </row>
    <row r="49" spans="1:19" ht="16" thickBot="1" x14ac:dyDescent="0.4">
      <c r="A49" s="187">
        <f t="shared" si="2"/>
        <v>45</v>
      </c>
      <c r="B49" s="186"/>
      <c r="C49" s="953" t="s">
        <v>472</v>
      </c>
      <c r="D49" s="488">
        <f t="shared" ref="D49:P49" si="4">SUM(D4:D47)</f>
        <v>-116896.19999999997</v>
      </c>
      <c r="E49" s="486">
        <f t="shared" si="4"/>
        <v>-92653.579999999973</v>
      </c>
      <c r="F49" s="488">
        <f t="shared" si="4"/>
        <v>112616.98000000001</v>
      </c>
      <c r="G49" s="488">
        <f t="shared" si="4"/>
        <v>-110138.31999999996</v>
      </c>
      <c r="H49" s="488">
        <f t="shared" si="4"/>
        <v>-73571.67</v>
      </c>
      <c r="I49" s="488">
        <f t="shared" si="4"/>
        <v>-92521.089999999982</v>
      </c>
      <c r="J49" s="486">
        <f t="shared" si="4"/>
        <v>-95322.360000000015</v>
      </c>
      <c r="K49" s="488">
        <f t="shared" si="4"/>
        <v>-55480.089999999975</v>
      </c>
      <c r="L49" s="486">
        <f t="shared" si="4"/>
        <v>-65693.819999999978</v>
      </c>
      <c r="M49" s="488">
        <f t="shared" si="4"/>
        <v>-83198.849999999962</v>
      </c>
      <c r="N49" s="486">
        <f t="shared" si="4"/>
        <v>-58424.279999999992</v>
      </c>
      <c r="O49" s="488">
        <f t="shared" si="4"/>
        <v>40230.639999999948</v>
      </c>
      <c r="P49" s="488">
        <f t="shared" si="4"/>
        <v>-691052.64000000025</v>
      </c>
      <c r="Q49" s="350">
        <f t="shared" si="1"/>
        <v>45</v>
      </c>
      <c r="R49" s="22"/>
    </row>
    <row r="50" spans="1:19" ht="16.5" thickTop="1" thickBot="1" x14ac:dyDescent="0.4">
      <c r="A50" s="642">
        <f t="shared" si="2"/>
        <v>46</v>
      </c>
      <c r="B50" s="126"/>
      <c r="C50" s="861"/>
      <c r="D50" s="924"/>
      <c r="E50" s="961"/>
      <c r="F50" s="924"/>
      <c r="G50" s="924"/>
      <c r="H50" s="924"/>
      <c r="I50" s="924"/>
      <c r="J50" s="318"/>
      <c r="K50" s="452"/>
      <c r="L50" s="318"/>
      <c r="M50" s="924"/>
      <c r="N50" s="961"/>
      <c r="O50" s="924"/>
      <c r="P50" s="452"/>
      <c r="Q50" s="464">
        <f t="shared" si="1"/>
        <v>46</v>
      </c>
      <c r="R50" s="22"/>
      <c r="S50" s="373"/>
    </row>
    <row r="51" spans="1:19" ht="15.5" x14ac:dyDescent="0.35">
      <c r="A51" s="640">
        <f t="shared" si="2"/>
        <v>47</v>
      </c>
      <c r="B51" s="247"/>
      <c r="C51" s="954"/>
      <c r="D51" s="925"/>
      <c r="E51" s="965"/>
      <c r="F51" s="925"/>
      <c r="G51" s="723"/>
      <c r="H51" s="723"/>
      <c r="I51" s="723"/>
      <c r="J51" s="965"/>
      <c r="K51" s="925"/>
      <c r="L51" s="965"/>
      <c r="M51" s="925"/>
      <c r="N51" s="965"/>
      <c r="O51" s="925"/>
      <c r="P51" s="723"/>
      <c r="Q51" s="460">
        <f t="shared" si="1"/>
        <v>47</v>
      </c>
      <c r="R51" s="22"/>
      <c r="S51" s="373"/>
    </row>
    <row r="52" spans="1:19" ht="15.5" x14ac:dyDescent="0.35">
      <c r="A52" s="187">
        <f t="shared" si="2"/>
        <v>48</v>
      </c>
      <c r="B52" s="125"/>
      <c r="C52" s="940" t="s">
        <v>527</v>
      </c>
      <c r="D52" s="724">
        <f t="shared" ref="D52:P52" si="5">D49</f>
        <v>-116896.19999999997</v>
      </c>
      <c r="E52" s="962">
        <f t="shared" si="5"/>
        <v>-92653.579999999973</v>
      </c>
      <c r="F52" s="724">
        <f t="shared" si="5"/>
        <v>112616.98000000001</v>
      </c>
      <c r="G52" s="724">
        <f t="shared" si="5"/>
        <v>-110138.31999999996</v>
      </c>
      <c r="H52" s="724">
        <f t="shared" si="5"/>
        <v>-73571.67</v>
      </c>
      <c r="I52" s="724">
        <f t="shared" si="5"/>
        <v>-92521.089999999982</v>
      </c>
      <c r="J52" s="962">
        <f t="shared" si="5"/>
        <v>-95322.360000000015</v>
      </c>
      <c r="K52" s="724">
        <f t="shared" si="5"/>
        <v>-55480.089999999975</v>
      </c>
      <c r="L52" s="962">
        <f t="shared" si="5"/>
        <v>-65693.819999999978</v>
      </c>
      <c r="M52" s="724">
        <f t="shared" si="5"/>
        <v>-83198.849999999962</v>
      </c>
      <c r="N52" s="962">
        <f t="shared" si="5"/>
        <v>-58424.279999999992</v>
      </c>
      <c r="O52" s="724">
        <f t="shared" si="5"/>
        <v>40230.639999999948</v>
      </c>
      <c r="P52" s="724">
        <f t="shared" si="5"/>
        <v>-691052.64000000025</v>
      </c>
      <c r="Q52" s="350">
        <f t="shared" si="1"/>
        <v>48</v>
      </c>
      <c r="R52" s="22"/>
    </row>
    <row r="53" spans="1:19" ht="15.5" x14ac:dyDescent="0.35">
      <c r="A53" s="187">
        <f t="shared" si="2"/>
        <v>49</v>
      </c>
      <c r="B53" s="125"/>
      <c r="C53" s="940" t="s">
        <v>473</v>
      </c>
      <c r="D53" s="725">
        <f>'WP 4 Monthly TRBAA '!C19</f>
        <v>-116896.19999999997</v>
      </c>
      <c r="E53" s="963">
        <f>'WP 4 Monthly TRBAA '!D19</f>
        <v>-92653.579999999973</v>
      </c>
      <c r="F53" s="725">
        <f>'WP 4 Monthly TRBAA '!E19</f>
        <v>112616.98000000001</v>
      </c>
      <c r="G53" s="725">
        <f>'WP 4 Monthly TRBAA '!F19</f>
        <v>-110138.31999999996</v>
      </c>
      <c r="H53" s="725">
        <f>'WP 4 Monthly TRBAA '!G19</f>
        <v>-73571.67</v>
      </c>
      <c r="I53" s="725">
        <f>'WP 4 Monthly TRBAA '!H19</f>
        <v>-92521.089999999982</v>
      </c>
      <c r="J53" s="963">
        <f>'WP 4 Monthly TRBAA '!I19</f>
        <v>-95322.360000000015</v>
      </c>
      <c r="K53" s="725">
        <f>'WP 4 Monthly TRBAA '!J19</f>
        <v>-55480.089999999975</v>
      </c>
      <c r="L53" s="963">
        <f>'WP 4 Monthly TRBAA '!K19</f>
        <v>-65693.819999999978</v>
      </c>
      <c r="M53" s="928">
        <f>'WP 4 Monthly TRBAA '!L19</f>
        <v>-83198.849999999962</v>
      </c>
      <c r="N53" s="963">
        <f>'WP 4 Monthly TRBAA '!M19</f>
        <v>-58424.279999999992</v>
      </c>
      <c r="O53" s="725">
        <f>'WP 4 Monthly TRBAA '!N19</f>
        <v>40230.639999999948</v>
      </c>
      <c r="P53" s="725">
        <f>SUM(D53:O53)</f>
        <v>-691052.6399999999</v>
      </c>
      <c r="Q53" s="350">
        <f t="shared" si="1"/>
        <v>49</v>
      </c>
      <c r="R53" s="22"/>
    </row>
    <row r="54" spans="1:19" ht="16" thickBot="1" x14ac:dyDescent="0.4">
      <c r="A54" s="642">
        <f t="shared" si="2"/>
        <v>50</v>
      </c>
      <c r="B54" s="126"/>
      <c r="C54" s="80" t="s">
        <v>76</v>
      </c>
      <c r="D54" s="727">
        <f>D52-D53</f>
        <v>0</v>
      </c>
      <c r="E54" s="967">
        <f t="shared" ref="E54:P54" si="6">E52-E53</f>
        <v>0</v>
      </c>
      <c r="F54" s="929">
        <f t="shared" si="6"/>
        <v>0</v>
      </c>
      <c r="G54" s="727">
        <f t="shared" si="6"/>
        <v>0</v>
      </c>
      <c r="H54" s="727">
        <f t="shared" si="6"/>
        <v>0</v>
      </c>
      <c r="I54" s="727">
        <f t="shared" si="6"/>
        <v>0</v>
      </c>
      <c r="J54" s="964">
        <f t="shared" si="6"/>
        <v>0</v>
      </c>
      <c r="K54" s="727">
        <f t="shared" si="6"/>
        <v>0</v>
      </c>
      <c r="L54" s="964">
        <f t="shared" si="6"/>
        <v>0</v>
      </c>
      <c r="M54" s="926">
        <f t="shared" si="6"/>
        <v>0</v>
      </c>
      <c r="N54" s="964">
        <f t="shared" si="6"/>
        <v>0</v>
      </c>
      <c r="O54" s="727">
        <f t="shared" si="6"/>
        <v>0</v>
      </c>
      <c r="P54" s="727">
        <f t="shared" si="6"/>
        <v>0</v>
      </c>
      <c r="Q54" s="464">
        <f t="shared" si="1"/>
        <v>50</v>
      </c>
      <c r="R54" s="22"/>
    </row>
    <row r="55" spans="1:19" ht="15.5" x14ac:dyDescent="0.35">
      <c r="B55" s="22"/>
      <c r="C55" s="22"/>
      <c r="D55" s="78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40"/>
    </row>
    <row r="56" spans="1:19" ht="15.5" x14ac:dyDescent="0.35">
      <c r="B56" s="22"/>
      <c r="C56" s="22"/>
      <c r="D56" s="306"/>
      <c r="E56" s="307"/>
      <c r="F56" s="307"/>
      <c r="G56" s="307"/>
      <c r="H56" s="307"/>
      <c r="I56" s="307"/>
      <c r="J56" s="307"/>
      <c r="K56" s="307"/>
      <c r="L56" s="307"/>
      <c r="M56" s="307"/>
      <c r="N56" s="307"/>
      <c r="O56" s="307"/>
      <c r="P56" s="151"/>
    </row>
    <row r="57" spans="1:19" ht="15.5" x14ac:dyDescent="0.35">
      <c r="B57" s="22"/>
      <c r="C57" s="22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</row>
    <row r="58" spans="1:19" ht="15.5" x14ac:dyDescent="0.35">
      <c r="B58" s="22"/>
      <c r="C58" s="22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</row>
    <row r="59" spans="1:19" ht="15.5" x14ac:dyDescent="0.35">
      <c r="B59" s="22"/>
      <c r="C59" s="22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</row>
    <row r="60" spans="1:19" ht="15.5" x14ac:dyDescent="0.35">
      <c r="B60" s="22"/>
      <c r="C60" s="22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</row>
    <row r="61" spans="1:19" ht="15.5" x14ac:dyDescent="0.35">
      <c r="B61" s="22"/>
      <c r="C61" s="22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</row>
    <row r="62" spans="1:19" ht="15.5" x14ac:dyDescent="0.35">
      <c r="B62" s="22"/>
      <c r="C62" s="22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</row>
    <row r="63" spans="1:19" ht="15.5" x14ac:dyDescent="0.35">
      <c r="B63" s="22"/>
      <c r="C63" s="22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</row>
    <row r="64" spans="1:19" ht="15.5" x14ac:dyDescent="0.35">
      <c r="B64" s="22"/>
      <c r="C64" s="22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</row>
    <row r="65" spans="2:16" ht="15.5" x14ac:dyDescent="0.35">
      <c r="B65" s="22"/>
      <c r="C65" s="22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</row>
    <row r="66" spans="2:16" ht="15.5" x14ac:dyDescent="0.35">
      <c r="B66" s="22"/>
      <c r="C66" s="22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</row>
    <row r="67" spans="2:16" ht="15.5" x14ac:dyDescent="0.35">
      <c r="B67" s="22"/>
      <c r="C67" s="22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</row>
    <row r="68" spans="2:16" ht="15.5" x14ac:dyDescent="0.35">
      <c r="B68" s="22"/>
      <c r="C68" s="22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</row>
    <row r="69" spans="2:16" ht="15.5" x14ac:dyDescent="0.35">
      <c r="B69" s="22"/>
      <c r="C69" s="22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</row>
    <row r="70" spans="2:16" ht="15.5" x14ac:dyDescent="0.35">
      <c r="B70" s="22"/>
      <c r="C70" s="22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</row>
    <row r="71" spans="2:16" ht="15.5" x14ac:dyDescent="0.35">
      <c r="B71" s="22"/>
      <c r="C71" s="22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</row>
    <row r="72" spans="2:16" ht="15.5" x14ac:dyDescent="0.35">
      <c r="B72" s="22"/>
      <c r="C72" s="22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</row>
    <row r="73" spans="2:16" ht="15.5" x14ac:dyDescent="0.35">
      <c r="B73" s="22"/>
      <c r="C73" s="22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</row>
    <row r="74" spans="2:16" ht="15.5" x14ac:dyDescent="0.35">
      <c r="B74" s="22"/>
      <c r="C74" s="22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</row>
    <row r="75" spans="2:16" ht="15.5" x14ac:dyDescent="0.35">
      <c r="B75" s="22"/>
      <c r="C75" s="22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</row>
    <row r="76" spans="2:16" ht="15.5" x14ac:dyDescent="0.35">
      <c r="B76" s="22"/>
      <c r="C76" s="22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</row>
    <row r="77" spans="2:16" ht="15.5" x14ac:dyDescent="0.35">
      <c r="B77" s="22"/>
      <c r="C77" s="22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</row>
    <row r="78" spans="2:16" ht="15.5" x14ac:dyDescent="0.35">
      <c r="B78" s="22"/>
      <c r="C78" s="22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</row>
    <row r="79" spans="2:16" ht="15.5" x14ac:dyDescent="0.35">
      <c r="B79" s="22"/>
      <c r="C79" s="22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</row>
    <row r="80" spans="2:16" ht="15.5" x14ac:dyDescent="0.35">
      <c r="B80" s="22"/>
      <c r="C80" s="22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</row>
    <row r="81" spans="2:16" ht="15.5" x14ac:dyDescent="0.35">
      <c r="B81" s="22"/>
      <c r="C81" s="22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</row>
    <row r="82" spans="2:16" ht="15.5" x14ac:dyDescent="0.35">
      <c r="B82" s="22"/>
      <c r="C82" s="22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</row>
    <row r="83" spans="2:16" ht="15.5" x14ac:dyDescent="0.35">
      <c r="B83" s="22"/>
      <c r="C83" s="22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</row>
    <row r="84" spans="2:16" ht="15.5" x14ac:dyDescent="0.35">
      <c r="B84" s="22"/>
      <c r="C84" s="22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</row>
    <row r="85" spans="2:16" ht="15.5" x14ac:dyDescent="0.35">
      <c r="B85" s="22"/>
      <c r="C85" s="22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2:16" ht="15.5" x14ac:dyDescent="0.35">
      <c r="B86" s="22"/>
      <c r="C86" s="22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</row>
    <row r="87" spans="2:16" ht="15.5" x14ac:dyDescent="0.35">
      <c r="B87" s="22"/>
      <c r="C87" s="22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</row>
    <row r="88" spans="2:16" ht="15.5" x14ac:dyDescent="0.35">
      <c r="B88" s="22"/>
      <c r="C88" s="22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</row>
    <row r="89" spans="2:16" ht="15.5" x14ac:dyDescent="0.35">
      <c r="B89" s="22"/>
      <c r="C89" s="22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</row>
    <row r="90" spans="2:16" ht="15.5" x14ac:dyDescent="0.35">
      <c r="B90" s="22"/>
      <c r="C90" s="22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</row>
    <row r="91" spans="2:16" ht="15.5" x14ac:dyDescent="0.35">
      <c r="B91" s="22"/>
      <c r="C91" s="22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</row>
    <row r="92" spans="2:16" ht="15.5" x14ac:dyDescent="0.35">
      <c r="B92" s="22"/>
      <c r="C92" s="22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</row>
    <row r="93" spans="2:16" ht="15.5" x14ac:dyDescent="0.35">
      <c r="B93" s="22"/>
      <c r="C93" s="22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</row>
  </sheetData>
  <printOptions horizontalCentered="1"/>
  <pageMargins left="0" right="0" top="1.25" bottom="0.5" header="0.5" footer="0.25"/>
  <pageSetup scale="65" fitToWidth="2" fitToHeight="2" orientation="portrait" r:id="rId1"/>
  <headerFooter alignWithMargins="0">
    <oddHeader>&amp;C&amp;"Times New Roman,Bold"&amp;14San Diego Gas &amp;&amp; Electric Company
2023 TRBAA Rate Filing
Details of Monthly ETC Cost Differentials</oddHeader>
    <oddFooter>&amp;L&amp;"Times New Roman,Regular"&amp;12&amp;F&amp;C&amp;"Times New Roman,Regular"&amp;12Page - 10.&amp;P&amp;R&amp;"Times New Roman,Regular"&amp;12&amp;A</oddFooter>
  </headerFooter>
  <colBreaks count="2" manualBreakCount="2">
    <brk id="7" min="2" max="64" man="1"/>
    <brk id="11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2:F48"/>
  <sheetViews>
    <sheetView zoomScale="80" zoomScaleNormal="80" workbookViewId="0"/>
  </sheetViews>
  <sheetFormatPr defaultColWidth="9.453125" defaultRowHeight="15.5" x14ac:dyDescent="0.35"/>
  <cols>
    <col min="1" max="1" width="5.453125" style="107" bestFit="1" customWidth="1"/>
    <col min="2" max="2" width="38.54296875" style="131" bestFit="1" customWidth="1"/>
    <col min="3" max="3" width="28.81640625" style="107" bestFit="1" customWidth="1"/>
    <col min="4" max="4" width="47.90625" style="107" customWidth="1"/>
    <col min="5" max="5" width="5.453125" style="107" bestFit="1" customWidth="1"/>
    <col min="6" max="6" width="2.453125" style="107" bestFit="1" customWidth="1"/>
    <col min="7" max="11" width="9.453125" style="107"/>
    <col min="12" max="12" width="10.54296875" style="107" bestFit="1" customWidth="1"/>
    <col min="13" max="16384" width="9.453125" style="107"/>
  </cols>
  <sheetData>
    <row r="2" spans="1:6" x14ac:dyDescent="0.35">
      <c r="A2" s="970" t="s">
        <v>1</v>
      </c>
      <c r="B2" s="970"/>
      <c r="C2" s="970"/>
      <c r="D2" s="970"/>
      <c r="E2" s="970"/>
    </row>
    <row r="3" spans="1:6" x14ac:dyDescent="0.35">
      <c r="A3" s="970" t="str">
        <f>'WP 8 CT4575'!A3:E3</f>
        <v>2023 - TRBAA Rate Filing</v>
      </c>
      <c r="B3" s="970"/>
      <c r="C3" s="970"/>
      <c r="D3" s="970"/>
      <c r="E3" s="970"/>
    </row>
    <row r="4" spans="1:6" x14ac:dyDescent="0.35">
      <c r="A4" s="970" t="s">
        <v>474</v>
      </c>
      <c r="B4" s="970"/>
      <c r="C4" s="970"/>
      <c r="D4" s="970"/>
      <c r="E4" s="970"/>
    </row>
    <row r="5" spans="1:6" ht="16" thickBot="1" x14ac:dyDescent="0.4">
      <c r="A5" s="339"/>
      <c r="B5" s="665"/>
      <c r="C5" s="666"/>
      <c r="D5" s="339"/>
      <c r="E5" s="339"/>
    </row>
    <row r="6" spans="1:6" ht="39.75" customHeight="1" thickBot="1" x14ac:dyDescent="0.4">
      <c r="A6" s="667" t="s">
        <v>70</v>
      </c>
      <c r="B6" s="338" t="s">
        <v>408</v>
      </c>
      <c r="C6" s="682" t="s">
        <v>475</v>
      </c>
      <c r="D6" s="593" t="s">
        <v>16</v>
      </c>
      <c r="E6" s="669" t="s">
        <v>70</v>
      </c>
    </row>
    <row r="7" spans="1:6" x14ac:dyDescent="0.35">
      <c r="A7" s="454"/>
      <c r="B7" s="789"/>
      <c r="C7" s="432"/>
      <c r="D7" s="431"/>
      <c r="E7" s="455"/>
    </row>
    <row r="8" spans="1:6" x14ac:dyDescent="0.35">
      <c r="A8" s="335">
        <v>1</v>
      </c>
      <c r="B8" s="108">
        <f>'WP 7 Wheeling Revenues'!B11</f>
        <v>44470</v>
      </c>
      <c r="C8" s="19">
        <f>'WP 5 CAISO Charges'!C19</f>
        <v>-7947.19</v>
      </c>
      <c r="D8" s="23" t="s">
        <v>476</v>
      </c>
      <c r="E8" s="336">
        <f>A8</f>
        <v>1</v>
      </c>
      <c r="F8" s="790"/>
    </row>
    <row r="9" spans="1:6" x14ac:dyDescent="0.35">
      <c r="A9" s="335">
        <f>A8+1</f>
        <v>2</v>
      </c>
      <c r="B9" s="108"/>
      <c r="C9" s="19"/>
      <c r="D9" s="10"/>
      <c r="E9" s="336">
        <f t="shared" ref="E9:E33" si="0">A9</f>
        <v>2</v>
      </c>
      <c r="F9" s="790"/>
    </row>
    <row r="10" spans="1:6" x14ac:dyDescent="0.35">
      <c r="A10" s="335">
        <f t="shared" ref="A10:A32" si="1">A9+1</f>
        <v>3</v>
      </c>
      <c r="B10" s="108">
        <f>'WP 7 Wheeling Revenues'!B13</f>
        <v>44501</v>
      </c>
      <c r="C10" s="31">
        <f>'WP 5 CAISO Charges'!D19</f>
        <v>-15028.39</v>
      </c>
      <c r="D10" s="23" t="str">
        <f>D8</f>
        <v>Work paper No. 5; Page 5.1 and 5.2; Line 13</v>
      </c>
      <c r="E10" s="336">
        <f t="shared" si="0"/>
        <v>3</v>
      </c>
    </row>
    <row r="11" spans="1:6" x14ac:dyDescent="0.35">
      <c r="A11" s="335">
        <f t="shared" si="1"/>
        <v>4</v>
      </c>
      <c r="B11" s="108"/>
      <c r="C11" s="31"/>
      <c r="D11" s="10"/>
      <c r="E11" s="336">
        <f t="shared" si="0"/>
        <v>4</v>
      </c>
    </row>
    <row r="12" spans="1:6" ht="16" thickBot="1" x14ac:dyDescent="0.4">
      <c r="A12" s="337">
        <f t="shared" si="1"/>
        <v>5</v>
      </c>
      <c r="B12" s="109">
        <f>'WP 7 Wheeling Revenues'!B15</f>
        <v>44531</v>
      </c>
      <c r="C12" s="58">
        <f>'WP 5 CAISO Charges'!E19</f>
        <v>-6146.52</v>
      </c>
      <c r="D12" s="651" t="str">
        <f>D8</f>
        <v>Work paper No. 5; Page 5.1 and 5.2; Line 13</v>
      </c>
      <c r="E12" s="340">
        <f t="shared" si="0"/>
        <v>5</v>
      </c>
    </row>
    <row r="13" spans="1:6" x14ac:dyDescent="0.35">
      <c r="A13" s="335">
        <f t="shared" si="1"/>
        <v>6</v>
      </c>
      <c r="B13" s="108"/>
      <c r="C13" s="31"/>
      <c r="D13" s="23"/>
      <c r="E13" s="336">
        <f t="shared" si="0"/>
        <v>6</v>
      </c>
    </row>
    <row r="14" spans="1:6" x14ac:dyDescent="0.35">
      <c r="A14" s="335">
        <f t="shared" si="1"/>
        <v>7</v>
      </c>
      <c r="B14" s="108">
        <f>'WP 7 Wheeling Revenues'!B17</f>
        <v>44562</v>
      </c>
      <c r="C14" s="31">
        <f>'WP 5 CAISO Charges'!F19</f>
        <v>-3304.92</v>
      </c>
      <c r="D14" s="23" t="str">
        <f>D8</f>
        <v>Work paper No. 5; Page 5.1 and 5.2; Line 13</v>
      </c>
      <c r="E14" s="336">
        <f t="shared" si="0"/>
        <v>7</v>
      </c>
    </row>
    <row r="15" spans="1:6" x14ac:dyDescent="0.35">
      <c r="A15" s="335">
        <f t="shared" si="1"/>
        <v>8</v>
      </c>
      <c r="B15" s="108"/>
      <c r="C15" s="31"/>
      <c r="D15" s="10"/>
      <c r="E15" s="336">
        <f t="shared" si="0"/>
        <v>8</v>
      </c>
    </row>
    <row r="16" spans="1:6" x14ac:dyDescent="0.35">
      <c r="A16" s="335">
        <f t="shared" si="1"/>
        <v>9</v>
      </c>
      <c r="B16" s="108">
        <f>'WP 7 Wheeling Revenues'!B19</f>
        <v>44593</v>
      </c>
      <c r="C16" s="31">
        <f>'WP 5 CAISO Charges'!G19</f>
        <v>1450.85</v>
      </c>
      <c r="D16" s="23" t="str">
        <f>D8</f>
        <v>Work paper No. 5; Page 5.1 and 5.2; Line 13</v>
      </c>
      <c r="E16" s="336">
        <f t="shared" si="0"/>
        <v>9</v>
      </c>
    </row>
    <row r="17" spans="1:5" x14ac:dyDescent="0.35">
      <c r="A17" s="335">
        <f t="shared" si="1"/>
        <v>10</v>
      </c>
      <c r="B17" s="108"/>
      <c r="C17" s="31"/>
      <c r="D17" s="10"/>
      <c r="E17" s="336">
        <f t="shared" si="0"/>
        <v>10</v>
      </c>
    </row>
    <row r="18" spans="1:5" ht="16" thickBot="1" x14ac:dyDescent="0.4">
      <c r="A18" s="337">
        <f t="shared" si="1"/>
        <v>11</v>
      </c>
      <c r="B18" s="109">
        <f>'WP 7 Wheeling Revenues'!B21</f>
        <v>44621</v>
      </c>
      <c r="C18" s="58">
        <f>'WP 5 CAISO Charges'!H19</f>
        <v>20054.129999999997</v>
      </c>
      <c r="D18" s="651" t="str">
        <f>D8</f>
        <v>Work paper No. 5; Page 5.1 and 5.2; Line 13</v>
      </c>
      <c r="E18" s="340">
        <f t="shared" si="0"/>
        <v>11</v>
      </c>
    </row>
    <row r="19" spans="1:5" x14ac:dyDescent="0.35">
      <c r="A19" s="335">
        <f t="shared" si="1"/>
        <v>12</v>
      </c>
      <c r="B19" s="108"/>
      <c r="C19" s="31"/>
      <c r="D19" s="10"/>
      <c r="E19" s="336">
        <f t="shared" si="0"/>
        <v>12</v>
      </c>
    </row>
    <row r="20" spans="1:5" x14ac:dyDescent="0.35">
      <c r="A20" s="335">
        <f t="shared" si="1"/>
        <v>13</v>
      </c>
      <c r="B20" s="108">
        <f>'WP 7 Wheeling Revenues'!B23</f>
        <v>44652</v>
      </c>
      <c r="C20" s="31">
        <f>'WP 5 CAISO Charges'!I19</f>
        <v>145181.26999999999</v>
      </c>
      <c r="D20" s="23" t="str">
        <f>D8</f>
        <v>Work paper No. 5; Page 5.1 and 5.2; Line 13</v>
      </c>
      <c r="E20" s="336">
        <f t="shared" si="0"/>
        <v>13</v>
      </c>
    </row>
    <row r="21" spans="1:5" x14ac:dyDescent="0.35">
      <c r="A21" s="335">
        <f t="shared" si="1"/>
        <v>14</v>
      </c>
      <c r="B21" s="108"/>
      <c r="C21" s="31"/>
      <c r="D21" s="10"/>
      <c r="E21" s="336">
        <f t="shared" si="0"/>
        <v>14</v>
      </c>
    </row>
    <row r="22" spans="1:5" x14ac:dyDescent="0.35">
      <c r="A22" s="335">
        <f t="shared" si="1"/>
        <v>15</v>
      </c>
      <c r="B22" s="108">
        <f>'WP 7 Wheeling Revenues'!B25</f>
        <v>44682</v>
      </c>
      <c r="C22" s="31">
        <f>'WP 5 CAISO Charges'!J19</f>
        <v>38164.47</v>
      </c>
      <c r="D22" s="23" t="str">
        <f>D8</f>
        <v>Work paper No. 5; Page 5.1 and 5.2; Line 13</v>
      </c>
      <c r="E22" s="336">
        <f t="shared" si="0"/>
        <v>15</v>
      </c>
    </row>
    <row r="23" spans="1:5" x14ac:dyDescent="0.35">
      <c r="A23" s="335">
        <f t="shared" si="1"/>
        <v>16</v>
      </c>
      <c r="B23" s="108"/>
      <c r="C23" s="31"/>
      <c r="D23" s="10"/>
      <c r="E23" s="336">
        <f t="shared" si="0"/>
        <v>16</v>
      </c>
    </row>
    <row r="24" spans="1:5" ht="16" thickBot="1" x14ac:dyDescent="0.4">
      <c r="A24" s="337">
        <f t="shared" si="1"/>
        <v>17</v>
      </c>
      <c r="B24" s="109">
        <f>'WP 7 Wheeling Revenues'!B27</f>
        <v>44713</v>
      </c>
      <c r="C24" s="58">
        <f>'WP 5 CAISO Charges'!K19</f>
        <v>-798.78</v>
      </c>
      <c r="D24" s="651" t="str">
        <f>D8</f>
        <v>Work paper No. 5; Page 5.1 and 5.2; Line 13</v>
      </c>
      <c r="E24" s="340">
        <f t="shared" si="0"/>
        <v>17</v>
      </c>
    </row>
    <row r="25" spans="1:5" x14ac:dyDescent="0.35">
      <c r="A25" s="335">
        <f t="shared" si="1"/>
        <v>18</v>
      </c>
      <c r="B25" s="108"/>
      <c r="C25" s="31"/>
      <c r="D25" s="10"/>
      <c r="E25" s="336">
        <f t="shared" si="0"/>
        <v>18</v>
      </c>
    </row>
    <row r="26" spans="1:5" x14ac:dyDescent="0.35">
      <c r="A26" s="335">
        <f t="shared" si="1"/>
        <v>19</v>
      </c>
      <c r="B26" s="108">
        <f>'WP 7 Wheeling Revenues'!B29</f>
        <v>44743</v>
      </c>
      <c r="C26" s="31">
        <f>'WP 5 CAISO Charges'!L19</f>
        <v>3451.4400000000005</v>
      </c>
      <c r="D26" s="23" t="str">
        <f>D8</f>
        <v>Work paper No. 5; Page 5.1 and 5.2; Line 13</v>
      </c>
      <c r="E26" s="336">
        <f t="shared" si="0"/>
        <v>19</v>
      </c>
    </row>
    <row r="27" spans="1:5" x14ac:dyDescent="0.35">
      <c r="A27" s="335">
        <f t="shared" si="1"/>
        <v>20</v>
      </c>
      <c r="B27" s="108"/>
      <c r="C27" s="31"/>
      <c r="D27" s="10"/>
      <c r="E27" s="336">
        <f t="shared" si="0"/>
        <v>20</v>
      </c>
    </row>
    <row r="28" spans="1:5" x14ac:dyDescent="0.35">
      <c r="A28" s="335">
        <f t="shared" si="1"/>
        <v>21</v>
      </c>
      <c r="B28" s="108">
        <f>'WP 7 Wheeling Revenues'!B31</f>
        <v>44774</v>
      </c>
      <c r="C28" s="31">
        <f>'WP 5 CAISO Charges'!M19</f>
        <v>-5237.05</v>
      </c>
      <c r="D28" s="23" t="str">
        <f>D8</f>
        <v>Work paper No. 5; Page 5.1 and 5.2; Line 13</v>
      </c>
      <c r="E28" s="336">
        <f t="shared" si="0"/>
        <v>21</v>
      </c>
    </row>
    <row r="29" spans="1:5" x14ac:dyDescent="0.35">
      <c r="A29" s="335">
        <f t="shared" si="1"/>
        <v>22</v>
      </c>
      <c r="B29" s="108"/>
      <c r="C29" s="31"/>
      <c r="D29" s="10"/>
      <c r="E29" s="336">
        <f t="shared" si="0"/>
        <v>22</v>
      </c>
    </row>
    <row r="30" spans="1:5" ht="16" thickBot="1" x14ac:dyDescent="0.4">
      <c r="A30" s="337">
        <f t="shared" si="1"/>
        <v>23</v>
      </c>
      <c r="B30" s="109">
        <f>'WP 7 Wheeling Revenues'!B33</f>
        <v>44805</v>
      </c>
      <c r="C30" s="82">
        <f>'WP 5 CAISO Charges'!N19</f>
        <v>-654299.5199999999</v>
      </c>
      <c r="D30" s="651" t="str">
        <f>D8</f>
        <v>Work paper No. 5; Page 5.1 and 5.2; Line 13</v>
      </c>
      <c r="E30" s="340">
        <f t="shared" si="0"/>
        <v>23</v>
      </c>
    </row>
    <row r="31" spans="1:5" x14ac:dyDescent="0.35">
      <c r="A31" s="335">
        <f t="shared" si="1"/>
        <v>24</v>
      </c>
      <c r="B31" s="108"/>
      <c r="C31" s="44"/>
      <c r="D31" s="23"/>
      <c r="E31" s="336">
        <f t="shared" si="0"/>
        <v>24</v>
      </c>
    </row>
    <row r="32" spans="1:5" ht="16" thickBot="1" x14ac:dyDescent="0.4">
      <c r="A32" s="335">
        <f t="shared" si="1"/>
        <v>25</v>
      </c>
      <c r="B32" s="132" t="s">
        <v>412</v>
      </c>
      <c r="C32" s="73">
        <f>SUM(C8:C30)</f>
        <v>-484460.2099999999</v>
      </c>
      <c r="D32" s="29" t="s">
        <v>413</v>
      </c>
      <c r="E32" s="336">
        <f t="shared" si="0"/>
        <v>25</v>
      </c>
    </row>
    <row r="33" spans="1:5" ht="16" thickTop="1" x14ac:dyDescent="0.35">
      <c r="A33" s="335">
        <f>A32+1</f>
        <v>26</v>
      </c>
      <c r="B33" s="683"/>
      <c r="C33" s="19"/>
      <c r="D33" s="684"/>
      <c r="E33" s="336">
        <f t="shared" si="0"/>
        <v>26</v>
      </c>
    </row>
    <row r="34" spans="1:5" ht="34.25" customHeight="1" thickBot="1" x14ac:dyDescent="0.4">
      <c r="A34" s="673">
        <f>A33+1</f>
        <v>27</v>
      </c>
      <c r="B34" s="680" t="s">
        <v>477</v>
      </c>
      <c r="C34" s="192">
        <f>C32</f>
        <v>-484460.2099999999</v>
      </c>
      <c r="D34" s="29" t="s">
        <v>415</v>
      </c>
      <c r="E34" s="675">
        <f>E33+1</f>
        <v>27</v>
      </c>
    </row>
    <row r="35" spans="1:5" ht="16.5" thickTop="1" thickBot="1" x14ac:dyDescent="0.4">
      <c r="A35" s="337">
        <f>A34+1</f>
        <v>28</v>
      </c>
      <c r="B35" s="338"/>
      <c r="C35" s="791"/>
      <c r="D35" s="685"/>
      <c r="E35" s="340">
        <f>E34+1</f>
        <v>28</v>
      </c>
    </row>
    <row r="36" spans="1:5" x14ac:dyDescent="0.35">
      <c r="B36" s="334"/>
      <c r="C36" s="72"/>
    </row>
    <row r="37" spans="1:5" ht="18.5" x14ac:dyDescent="0.35">
      <c r="A37" s="681"/>
      <c r="B37" s="107"/>
      <c r="C37" s="133"/>
      <c r="D37" s="133"/>
    </row>
    <row r="38" spans="1:5" x14ac:dyDescent="0.35">
      <c r="B38" s="133"/>
      <c r="C38" s="133"/>
      <c r="D38" s="133"/>
    </row>
    <row r="39" spans="1:5" x14ac:dyDescent="0.35">
      <c r="B39" s="133"/>
      <c r="C39" s="133"/>
      <c r="D39" s="133"/>
    </row>
    <row r="40" spans="1:5" x14ac:dyDescent="0.35">
      <c r="A40" s="416"/>
      <c r="B40" s="317"/>
      <c r="C40" s="133"/>
      <c r="D40" s="133"/>
    </row>
    <row r="41" spans="1:5" x14ac:dyDescent="0.35">
      <c r="B41" s="193"/>
      <c r="C41" s="133"/>
      <c r="D41" s="133"/>
    </row>
    <row r="42" spans="1:5" x14ac:dyDescent="0.35">
      <c r="B42" s="193"/>
      <c r="C42" s="133"/>
      <c r="D42" s="133"/>
    </row>
    <row r="43" spans="1:5" x14ac:dyDescent="0.35">
      <c r="B43" s="193"/>
      <c r="C43" s="133"/>
      <c r="D43" s="133"/>
    </row>
    <row r="44" spans="1:5" x14ac:dyDescent="0.35">
      <c r="B44" s="317"/>
      <c r="C44" s="133"/>
      <c r="D44" s="133"/>
    </row>
    <row r="45" spans="1:5" x14ac:dyDescent="0.35">
      <c r="B45" s="133"/>
      <c r="C45" s="133"/>
      <c r="D45" s="133"/>
    </row>
    <row r="46" spans="1:5" x14ac:dyDescent="0.35">
      <c r="B46" s="316"/>
      <c r="C46" s="133"/>
      <c r="D46" s="133"/>
    </row>
    <row r="47" spans="1:5" x14ac:dyDescent="0.35">
      <c r="B47" s="193"/>
      <c r="C47" s="133"/>
      <c r="D47" s="133"/>
    </row>
    <row r="48" spans="1:5" x14ac:dyDescent="0.35">
      <c r="B48" s="133"/>
      <c r="C48" s="133"/>
      <c r="D48" s="133"/>
    </row>
  </sheetData>
  <mergeCells count="3">
    <mergeCell ref="A2:E2"/>
    <mergeCell ref="A3:E3"/>
    <mergeCell ref="A4:E4"/>
  </mergeCells>
  <printOptions horizontalCentered="1"/>
  <pageMargins left="0" right="0" top="0.5" bottom="0.75" header="0.25" footer="0.25"/>
  <pageSetup scale="89" orientation="landscape" r:id="rId1"/>
  <headerFooter alignWithMargins="0">
    <oddFooter>&amp;L&amp;"Times New Roman,Regular"&amp;12&amp;F&amp;C&amp;"Times New Roman,Regular"&amp;12Page 11.1&amp;R&amp;"Times New Roman,Regular"&amp;12&amp;A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67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27.54296875" style="1" customWidth="1"/>
    <col min="3" max="3" width="22.54296875" style="1" customWidth="1"/>
    <col min="4" max="4" width="18.54296875" style="1" bestFit="1" customWidth="1"/>
    <col min="5" max="5" width="20.54296875" style="1" customWidth="1"/>
    <col min="6" max="6" width="26.1796875" style="1" bestFit="1" customWidth="1"/>
    <col min="7" max="7" width="46.453125" style="1" bestFit="1" customWidth="1"/>
    <col min="8" max="8" width="5.54296875" style="1" customWidth="1"/>
    <col min="9" max="9" width="8.54296875" style="1" customWidth="1"/>
    <col min="10" max="10" width="12.54296875" style="1" customWidth="1"/>
    <col min="11" max="11" width="12.54296875" style="1" bestFit="1" customWidth="1"/>
    <col min="12" max="16384" width="8.54296875" style="1"/>
  </cols>
  <sheetData>
    <row r="2" spans="1:11" s="3" customFormat="1" ht="18" customHeight="1" x14ac:dyDescent="0.3">
      <c r="A2" s="5" t="s">
        <v>0</v>
      </c>
      <c r="B2" s="5"/>
      <c r="C2" s="5"/>
      <c r="D2" s="5"/>
      <c r="E2" s="5"/>
      <c r="F2" s="5"/>
      <c r="G2" s="5"/>
      <c r="H2" s="41"/>
      <c r="I2" s="1"/>
      <c r="J2" s="1"/>
      <c r="K2" s="1"/>
    </row>
    <row r="3" spans="1:11" s="3" customFormat="1" ht="18" customHeight="1" x14ac:dyDescent="0.3">
      <c r="A3" s="5" t="s">
        <v>25</v>
      </c>
      <c r="B3" s="5"/>
      <c r="C3" s="5"/>
      <c r="D3" s="5"/>
      <c r="E3" s="5"/>
      <c r="F3" s="5"/>
      <c r="G3" s="5"/>
      <c r="H3" s="41"/>
      <c r="I3" s="1"/>
      <c r="J3" s="1"/>
      <c r="K3" s="1"/>
    </row>
    <row r="4" spans="1:11" s="3" customFormat="1" ht="18" customHeight="1" x14ac:dyDescent="0.3">
      <c r="A4" s="5" t="str">
        <f>'Stmnt BD - Forecast KWH'!A4</f>
        <v>2023 - TRBAA Rate Filing</v>
      </c>
      <c r="B4" s="5"/>
      <c r="C4" s="5"/>
      <c r="D4" s="5"/>
      <c r="E4" s="5"/>
      <c r="F4" s="5"/>
      <c r="G4" s="5"/>
      <c r="H4" s="41"/>
      <c r="I4" s="1"/>
      <c r="J4" s="1"/>
      <c r="K4" s="1"/>
    </row>
    <row r="5" spans="1:11" s="3" customFormat="1" ht="18" customHeight="1" x14ac:dyDescent="0.3">
      <c r="A5" s="5" t="s">
        <v>523</v>
      </c>
      <c r="B5" s="5"/>
      <c r="C5" s="5"/>
      <c r="D5" s="5"/>
      <c r="E5" s="5"/>
      <c r="F5" s="5"/>
      <c r="G5" s="5"/>
      <c r="H5" s="41"/>
      <c r="I5" s="1"/>
      <c r="J5" s="1"/>
      <c r="K5" s="1"/>
    </row>
    <row r="6" spans="1:11" ht="15.5" x14ac:dyDescent="0.3">
      <c r="A6" s="5" t="s">
        <v>26</v>
      </c>
      <c r="B6" s="5"/>
      <c r="C6" s="5"/>
      <c r="D6" s="5"/>
      <c r="E6" s="5"/>
      <c r="F6" s="41"/>
      <c r="G6" s="41"/>
      <c r="H6" s="41"/>
    </row>
    <row r="7" spans="1:11" ht="16" thickBot="1" x14ac:dyDescent="0.4">
      <c r="A7" s="22"/>
      <c r="B7" s="22"/>
      <c r="C7" s="22"/>
      <c r="D7" s="22"/>
      <c r="E7" s="22"/>
      <c r="F7" s="22"/>
      <c r="G7" s="22"/>
      <c r="H7" s="22"/>
    </row>
    <row r="8" spans="1:11" ht="15" x14ac:dyDescent="0.3">
      <c r="A8" s="287"/>
      <c r="B8" s="546"/>
      <c r="C8" s="456" t="s">
        <v>3</v>
      </c>
      <c r="D8" s="766" t="s">
        <v>4</v>
      </c>
      <c r="E8" s="547" t="s">
        <v>5</v>
      </c>
      <c r="F8" s="547" t="s">
        <v>27</v>
      </c>
      <c r="G8" s="555"/>
      <c r="H8" s="548"/>
    </row>
    <row r="9" spans="1:11" ht="15" x14ac:dyDescent="0.3">
      <c r="A9" s="549"/>
      <c r="B9" s="94"/>
      <c r="C9" s="94"/>
      <c r="D9" s="94"/>
      <c r="E9" s="75" t="s">
        <v>28</v>
      </c>
      <c r="F9" s="75" t="s">
        <v>29</v>
      </c>
      <c r="G9" s="75"/>
      <c r="H9" s="550"/>
    </row>
    <row r="10" spans="1:11" ht="15" x14ac:dyDescent="0.3">
      <c r="A10" s="551" t="s">
        <v>8</v>
      </c>
      <c r="B10" s="75"/>
      <c r="C10" s="75" t="s">
        <v>18</v>
      </c>
      <c r="D10" s="75" t="s">
        <v>7</v>
      </c>
      <c r="E10" s="158" t="s">
        <v>30</v>
      </c>
      <c r="F10" s="158" t="s">
        <v>31</v>
      </c>
      <c r="G10" s="75"/>
      <c r="H10" s="552" t="s">
        <v>8</v>
      </c>
    </row>
    <row r="11" spans="1:11" ht="15.5" thickBot="1" x14ac:dyDescent="0.35">
      <c r="A11" s="569" t="s">
        <v>11</v>
      </c>
      <c r="B11" s="153" t="s">
        <v>32</v>
      </c>
      <c r="C11" s="153" t="s">
        <v>33</v>
      </c>
      <c r="D11" s="153" t="s">
        <v>34</v>
      </c>
      <c r="E11" s="571" t="s">
        <v>9</v>
      </c>
      <c r="F11" s="571" t="s">
        <v>35</v>
      </c>
      <c r="G11" s="153" t="s">
        <v>16</v>
      </c>
      <c r="H11" s="570" t="s">
        <v>11</v>
      </c>
    </row>
    <row r="12" spans="1:11" ht="15.5" x14ac:dyDescent="0.35">
      <c r="A12" s="263"/>
      <c r="B12" s="770"/>
      <c r="C12" s="770"/>
      <c r="D12" s="770"/>
      <c r="E12" s="188"/>
      <c r="F12" s="188"/>
      <c r="G12" s="10"/>
      <c r="H12" s="264"/>
    </row>
    <row r="13" spans="1:11" ht="15.5" x14ac:dyDescent="0.35">
      <c r="A13" s="263">
        <v>1</v>
      </c>
      <c r="B13" s="106">
        <f>'Stmnt BD - Forecast KWH'!B12</f>
        <v>44927</v>
      </c>
      <c r="C13" s="492">
        <f>'WP 1.2 Forecast Sales'!C14</f>
        <v>1440054.8521</v>
      </c>
      <c r="D13" s="492">
        <f>'WP 1.2 Forecast Sales'!C13</f>
        <v>5.37</v>
      </c>
      <c r="E13" s="44">
        <f>C13-D13</f>
        <v>1440049.4820999999</v>
      </c>
      <c r="F13" s="44">
        <f>E13*$E$31</f>
        <v>1498803.5009696798</v>
      </c>
      <c r="G13" s="241" t="s">
        <v>36</v>
      </c>
      <c r="H13" s="264">
        <v>1</v>
      </c>
      <c r="J13" s="179"/>
    </row>
    <row r="14" spans="1:11" ht="15.5" x14ac:dyDescent="0.35">
      <c r="A14" s="263">
        <f>A13+1</f>
        <v>2</v>
      </c>
      <c r="B14" s="106">
        <f>'Stmnt BD - Forecast KWH'!B13</f>
        <v>44958</v>
      </c>
      <c r="C14" s="492">
        <f>'WP 1.2 Forecast Sales'!D14</f>
        <v>1320566.0740000003</v>
      </c>
      <c r="D14" s="492">
        <f>'WP 1.2 Forecast Sales'!D13</f>
        <v>2.952</v>
      </c>
      <c r="E14" s="44">
        <f t="shared" ref="E14:E24" si="0">C14-D14</f>
        <v>1320563.1220000002</v>
      </c>
      <c r="F14" s="44">
        <f t="shared" ref="F14:F24" si="1">E14*$E$31</f>
        <v>1374442.0973776001</v>
      </c>
      <c r="G14" s="241" t="str">
        <f>$G$13</f>
        <v>Cols. A to C, WP No. 1; Page 1.2; Lines 10, 9 &amp; 12</v>
      </c>
      <c r="H14" s="264">
        <f>H13+1</f>
        <v>2</v>
      </c>
      <c r="J14" s="179"/>
    </row>
    <row r="15" spans="1:11" ht="15.5" x14ac:dyDescent="0.35">
      <c r="A15" s="263">
        <f t="shared" ref="A15:A40" si="2">A14+1</f>
        <v>3</v>
      </c>
      <c r="B15" s="106">
        <f>'Stmnt BD - Forecast KWH'!B14</f>
        <v>44986</v>
      </c>
      <c r="C15" s="492">
        <f>'WP 1.2 Forecast Sales'!E14</f>
        <v>1266253.8485999999</v>
      </c>
      <c r="D15" s="492">
        <f>'WP 1.2 Forecast Sales'!E13</f>
        <v>5.6840000000000002</v>
      </c>
      <c r="E15" s="44">
        <f t="shared" si="0"/>
        <v>1266248.1646</v>
      </c>
      <c r="F15" s="44">
        <f t="shared" si="1"/>
        <v>1317911.0897156799</v>
      </c>
      <c r="G15" s="241" t="str">
        <f t="shared" ref="G15:G24" si="3">$G$13</f>
        <v>Cols. A to C, WP No. 1; Page 1.2; Lines 10, 9 &amp; 12</v>
      </c>
      <c r="H15" s="264">
        <f t="shared" ref="H15:H40" si="4">H14+1</f>
        <v>3</v>
      </c>
      <c r="J15" s="179"/>
    </row>
    <row r="16" spans="1:11" ht="15.5" x14ac:dyDescent="0.35">
      <c r="A16" s="263">
        <f t="shared" si="2"/>
        <v>4</v>
      </c>
      <c r="B16" s="106">
        <f>'Stmnt BD - Forecast KWH'!B15</f>
        <v>45017</v>
      </c>
      <c r="C16" s="492">
        <f>'WP 1.2 Forecast Sales'!F14</f>
        <v>1308025.2133000002</v>
      </c>
      <c r="D16" s="492">
        <f>'WP 1.2 Forecast Sales'!F13</f>
        <v>3.016</v>
      </c>
      <c r="E16" s="44">
        <f t="shared" si="0"/>
        <v>1308022.1973000001</v>
      </c>
      <c r="F16" s="44">
        <f t="shared" si="1"/>
        <v>1361389.5029498402</v>
      </c>
      <c r="G16" s="241" t="str">
        <f t="shared" si="3"/>
        <v>Cols. A to C, WP No. 1; Page 1.2; Lines 10, 9 &amp; 12</v>
      </c>
      <c r="H16" s="264">
        <f t="shared" si="4"/>
        <v>4</v>
      </c>
      <c r="J16" s="179"/>
    </row>
    <row r="17" spans="1:11" ht="15.5" x14ac:dyDescent="0.35">
      <c r="A17" s="263">
        <f t="shared" si="2"/>
        <v>5</v>
      </c>
      <c r="B17" s="106">
        <f>'Stmnt BD - Forecast KWH'!B16</f>
        <v>45047</v>
      </c>
      <c r="C17" s="492">
        <f>'WP 1.2 Forecast Sales'!G14</f>
        <v>1268447.3938</v>
      </c>
      <c r="D17" s="492">
        <f>'WP 1.2 Forecast Sales'!G13</f>
        <v>4.0199999999999996</v>
      </c>
      <c r="E17" s="44">
        <f t="shared" si="0"/>
        <v>1268443.3737999999</v>
      </c>
      <c r="F17" s="44">
        <f t="shared" si="1"/>
        <v>1320195.8634510399</v>
      </c>
      <c r="G17" s="241" t="str">
        <f t="shared" si="3"/>
        <v>Cols. A to C, WP No. 1; Page 1.2; Lines 10, 9 &amp; 12</v>
      </c>
      <c r="H17" s="264">
        <f t="shared" si="4"/>
        <v>5</v>
      </c>
      <c r="J17" s="179"/>
    </row>
    <row r="18" spans="1:11" ht="15.5" x14ac:dyDescent="0.35">
      <c r="A18" s="263">
        <f t="shared" si="2"/>
        <v>6</v>
      </c>
      <c r="B18" s="106">
        <f>'Stmnt BD - Forecast KWH'!B17</f>
        <v>45078</v>
      </c>
      <c r="C18" s="492">
        <f>'WP 1.2 Forecast Sales'!H14</f>
        <v>1380369.5958</v>
      </c>
      <c r="D18" s="492">
        <f>'WP 1.2 Forecast Sales'!H13</f>
        <v>6.4370000000000003</v>
      </c>
      <c r="E18" s="44">
        <f t="shared" si="0"/>
        <v>1380363.1588000001</v>
      </c>
      <c r="F18" s="44">
        <f t="shared" si="1"/>
        <v>1436681.97567904</v>
      </c>
      <c r="G18" s="241" t="str">
        <f t="shared" si="3"/>
        <v>Cols. A to C, WP No. 1; Page 1.2; Lines 10, 9 &amp; 12</v>
      </c>
      <c r="H18" s="264">
        <f t="shared" si="4"/>
        <v>6</v>
      </c>
      <c r="J18" s="179"/>
    </row>
    <row r="19" spans="1:11" ht="15.5" x14ac:dyDescent="0.35">
      <c r="A19" s="263">
        <f t="shared" si="2"/>
        <v>7</v>
      </c>
      <c r="B19" s="106">
        <f>'Stmnt BD - Forecast KWH'!B18</f>
        <v>45108</v>
      </c>
      <c r="C19" s="492">
        <f>'WP 1.2 Forecast Sales'!I14</f>
        <v>1485703.6131000002</v>
      </c>
      <c r="D19" s="492">
        <f>'WP 1.2 Forecast Sales'!I13</f>
        <v>5.1710000000000003</v>
      </c>
      <c r="E19" s="44">
        <f t="shared" si="0"/>
        <v>1485698.4421000001</v>
      </c>
      <c r="F19" s="44">
        <f t="shared" si="1"/>
        <v>1546314.9385376801</v>
      </c>
      <c r="G19" s="241" t="str">
        <f t="shared" si="3"/>
        <v>Cols. A to C, WP No. 1; Page 1.2; Lines 10, 9 &amp; 12</v>
      </c>
      <c r="H19" s="264">
        <f t="shared" si="4"/>
        <v>7</v>
      </c>
      <c r="J19" s="179"/>
    </row>
    <row r="20" spans="1:11" ht="15.5" x14ac:dyDescent="0.35">
      <c r="A20" s="263">
        <f t="shared" si="2"/>
        <v>8</v>
      </c>
      <c r="B20" s="106">
        <f>'Stmnt BD - Forecast KWH'!B19</f>
        <v>45139</v>
      </c>
      <c r="C20" s="492">
        <f>'WP 1.2 Forecast Sales'!J14</f>
        <v>1571872.0278</v>
      </c>
      <c r="D20" s="492">
        <f>'WP 1.2 Forecast Sales'!J13</f>
        <v>5.73</v>
      </c>
      <c r="E20" s="44">
        <f t="shared" si="0"/>
        <v>1571866.2978000001</v>
      </c>
      <c r="F20" s="44">
        <f t="shared" si="1"/>
        <v>1635998.44275024</v>
      </c>
      <c r="G20" s="241" t="str">
        <f t="shared" si="3"/>
        <v>Cols. A to C, WP No. 1; Page 1.2; Lines 10, 9 &amp; 12</v>
      </c>
      <c r="H20" s="264">
        <f t="shared" si="4"/>
        <v>8</v>
      </c>
      <c r="J20" s="179"/>
    </row>
    <row r="21" spans="1:11" ht="15.5" x14ac:dyDescent="0.35">
      <c r="A21" s="263">
        <f t="shared" si="2"/>
        <v>9</v>
      </c>
      <c r="B21" s="106">
        <f>'Stmnt BD - Forecast KWH'!B20</f>
        <v>45170</v>
      </c>
      <c r="C21" s="492">
        <f>'WP 1.2 Forecast Sales'!K14</f>
        <v>1716300.1815000002</v>
      </c>
      <c r="D21" s="492">
        <f>'WP 1.2 Forecast Sales'!K13</f>
        <v>5.9420000000000002</v>
      </c>
      <c r="E21" s="44">
        <f t="shared" si="0"/>
        <v>1716294.2395000001</v>
      </c>
      <c r="F21" s="44">
        <f t="shared" si="1"/>
        <v>1786319.0444716001</v>
      </c>
      <c r="G21" s="241" t="str">
        <f t="shared" si="3"/>
        <v>Cols. A to C, WP No. 1; Page 1.2; Lines 10, 9 &amp; 12</v>
      </c>
      <c r="H21" s="264">
        <f t="shared" si="4"/>
        <v>9</v>
      </c>
      <c r="J21" s="179"/>
    </row>
    <row r="22" spans="1:11" ht="15.5" x14ac:dyDescent="0.35">
      <c r="A22" s="263">
        <f t="shared" si="2"/>
        <v>10</v>
      </c>
      <c r="B22" s="106">
        <f>'Stmnt BD - Forecast KWH'!B21</f>
        <v>45200</v>
      </c>
      <c r="C22" s="492">
        <f>'WP 1.2 Forecast Sales'!L14</f>
        <v>1528687.3237000001</v>
      </c>
      <c r="D22" s="492">
        <f>'WP 1.2 Forecast Sales'!L13</f>
        <v>6.08</v>
      </c>
      <c r="E22" s="44">
        <f t="shared" si="0"/>
        <v>1528681.2437</v>
      </c>
      <c r="F22" s="44">
        <f t="shared" si="1"/>
        <v>1591051.4384429599</v>
      </c>
      <c r="G22" s="241" t="str">
        <f t="shared" si="3"/>
        <v>Cols. A to C, WP No. 1; Page 1.2; Lines 10, 9 &amp; 12</v>
      </c>
      <c r="H22" s="264">
        <f t="shared" si="4"/>
        <v>10</v>
      </c>
      <c r="J22" s="179"/>
    </row>
    <row r="23" spans="1:11" ht="15.5" x14ac:dyDescent="0.35">
      <c r="A23" s="263">
        <f t="shared" si="2"/>
        <v>11</v>
      </c>
      <c r="B23" s="106">
        <f>'Stmnt BD - Forecast KWH'!B22</f>
        <v>45231</v>
      </c>
      <c r="C23" s="492">
        <f>'WP 1.2 Forecast Sales'!M14</f>
        <v>1377458.1849999998</v>
      </c>
      <c r="D23" s="492">
        <f>'WP 1.2 Forecast Sales'!M13</f>
        <v>4.7240000000000002</v>
      </c>
      <c r="E23" s="44">
        <f t="shared" si="0"/>
        <v>1377453.4609999999</v>
      </c>
      <c r="F23" s="44">
        <f t="shared" si="1"/>
        <v>1433653.5622087999</v>
      </c>
      <c r="G23" s="241" t="str">
        <f t="shared" si="3"/>
        <v>Cols. A to C, WP No. 1; Page 1.2; Lines 10, 9 &amp; 12</v>
      </c>
      <c r="H23" s="264">
        <f t="shared" si="4"/>
        <v>11</v>
      </c>
      <c r="J23" s="179"/>
    </row>
    <row r="24" spans="1:11" ht="15.5" x14ac:dyDescent="0.35">
      <c r="A24" s="263">
        <f t="shared" si="2"/>
        <v>12</v>
      </c>
      <c r="B24" s="106">
        <f>'Stmnt BD - Forecast KWH'!B23</f>
        <v>45261</v>
      </c>
      <c r="C24" s="492">
        <f>'WP 1.2 Forecast Sales'!N14</f>
        <v>1408672.1796000001</v>
      </c>
      <c r="D24" s="492">
        <f>'WP 1.2 Forecast Sales'!N13</f>
        <v>6.1790000000000003</v>
      </c>
      <c r="E24" s="44">
        <f t="shared" si="0"/>
        <v>1408666.0006000001</v>
      </c>
      <c r="F24" s="51">
        <f t="shared" si="1"/>
        <v>1466139.5734244802</v>
      </c>
      <c r="G24" s="241" t="str">
        <f t="shared" si="3"/>
        <v>Cols. A to C, WP No. 1; Page 1.2; Lines 10, 9 &amp; 12</v>
      </c>
      <c r="H24" s="264">
        <f t="shared" si="4"/>
        <v>12</v>
      </c>
      <c r="J24" s="179"/>
    </row>
    <row r="25" spans="1:11" ht="15.5" x14ac:dyDescent="0.35">
      <c r="A25" s="263">
        <f t="shared" si="2"/>
        <v>13</v>
      </c>
      <c r="B25" s="52"/>
      <c r="C25" s="493"/>
      <c r="D25" s="52"/>
      <c r="E25" s="53"/>
      <c r="F25" s="45"/>
      <c r="G25" s="49"/>
      <c r="H25" s="264">
        <f t="shared" si="4"/>
        <v>13</v>
      </c>
    </row>
    <row r="26" spans="1:11" ht="16" thickBot="1" x14ac:dyDescent="0.4">
      <c r="A26" s="263">
        <f t="shared" si="2"/>
        <v>14</v>
      </c>
      <c r="B26" s="13" t="s">
        <v>18</v>
      </c>
      <c r="C26" s="499">
        <f>SUM(C13:C25)</f>
        <v>17072410.488299999</v>
      </c>
      <c r="D26" s="499">
        <f>SUM(D13:D25)</f>
        <v>61.304999999999993</v>
      </c>
      <c r="E26" s="47">
        <f>SUM(E13:E24)</f>
        <v>17072349.1833</v>
      </c>
      <c r="F26" s="47">
        <f>SUM(F13:F24)</f>
        <v>17768901.02997864</v>
      </c>
      <c r="G26" s="49" t="s">
        <v>19</v>
      </c>
      <c r="H26" s="264">
        <f t="shared" si="4"/>
        <v>14</v>
      </c>
      <c r="J26" s="298"/>
      <c r="K26" s="179"/>
    </row>
    <row r="27" spans="1:11" ht="16" thickTop="1" x14ac:dyDescent="0.35">
      <c r="A27" s="263">
        <f t="shared" si="2"/>
        <v>15</v>
      </c>
      <c r="B27" s="32"/>
      <c r="C27" s="495"/>
      <c r="D27" s="495"/>
      <c r="E27" s="45"/>
      <c r="F27" s="502"/>
      <c r="G27" s="49"/>
      <c r="H27" s="264">
        <f t="shared" si="4"/>
        <v>15</v>
      </c>
      <c r="J27" s="298"/>
      <c r="K27" s="179"/>
    </row>
    <row r="28" spans="1:11" ht="16" thickBot="1" x14ac:dyDescent="0.4">
      <c r="A28" s="263">
        <f t="shared" si="2"/>
        <v>16</v>
      </c>
      <c r="B28" s="56" t="s">
        <v>37</v>
      </c>
      <c r="C28" s="495"/>
      <c r="D28" s="495"/>
      <c r="E28" s="505">
        <f>E26</f>
        <v>17072349.1833</v>
      </c>
      <c r="F28" s="45"/>
      <c r="G28" s="506" t="s">
        <v>38</v>
      </c>
      <c r="H28" s="264">
        <f t="shared" si="4"/>
        <v>16</v>
      </c>
      <c r="J28" s="298"/>
      <c r="K28" s="179"/>
    </row>
    <row r="29" spans="1:11" ht="16" thickTop="1" x14ac:dyDescent="0.35">
      <c r="A29" s="263">
        <f t="shared" si="2"/>
        <v>17</v>
      </c>
      <c r="B29" s="496"/>
      <c r="C29" s="497"/>
      <c r="D29" s="497"/>
      <c r="E29" s="504"/>
      <c r="F29" s="503"/>
      <c r="G29" s="498"/>
      <c r="H29" s="264">
        <f t="shared" si="4"/>
        <v>17</v>
      </c>
      <c r="J29" s="298"/>
      <c r="K29" s="179"/>
    </row>
    <row r="30" spans="1:11" ht="15.5" x14ac:dyDescent="0.35">
      <c r="A30" s="263">
        <f t="shared" si="2"/>
        <v>18</v>
      </c>
      <c r="B30" s="32"/>
      <c r="C30" s="501"/>
      <c r="D30" s="501"/>
      <c r="E30" s="48"/>
      <c r="F30" s="45"/>
      <c r="G30" s="49"/>
      <c r="H30" s="264">
        <f t="shared" si="4"/>
        <v>18</v>
      </c>
      <c r="J30" s="298"/>
      <c r="K30" s="179"/>
    </row>
    <row r="31" spans="1:11" ht="19" thickBot="1" x14ac:dyDescent="0.4">
      <c r="A31" s="263">
        <f t="shared" si="2"/>
        <v>19</v>
      </c>
      <c r="B31" s="56" t="s">
        <v>39</v>
      </c>
      <c r="C31" s="492">
        <v>36954538</v>
      </c>
      <c r="D31" s="492">
        <v>38462879.668519884</v>
      </c>
      <c r="E31" s="543">
        <f>ROUND(D31/C31,4)</f>
        <v>1.0407999999999999</v>
      </c>
      <c r="F31" s="45"/>
      <c r="G31" s="49" t="s">
        <v>40</v>
      </c>
      <c r="H31" s="264">
        <f t="shared" si="4"/>
        <v>19</v>
      </c>
      <c r="J31" s="298"/>
      <c r="K31" s="179"/>
    </row>
    <row r="32" spans="1:11" ht="16" thickTop="1" x14ac:dyDescent="0.35">
      <c r="A32" s="263">
        <f t="shared" si="2"/>
        <v>20</v>
      </c>
      <c r="B32" s="500"/>
      <c r="C32" s="494"/>
      <c r="D32" s="494"/>
      <c r="E32" s="507"/>
      <c r="F32" s="503"/>
      <c r="G32" s="498"/>
      <c r="H32" s="264">
        <f t="shared" si="4"/>
        <v>20</v>
      </c>
      <c r="J32" s="298"/>
      <c r="K32" s="179"/>
    </row>
    <row r="33" spans="1:11" ht="15.5" x14ac:dyDescent="0.35">
      <c r="A33" s="263">
        <f t="shared" si="2"/>
        <v>21</v>
      </c>
      <c r="B33" s="56"/>
      <c r="C33" s="495"/>
      <c r="D33" s="495"/>
      <c r="E33" s="502"/>
      <c r="F33" s="502"/>
      <c r="G33" s="49"/>
      <c r="H33" s="264">
        <f t="shared" si="4"/>
        <v>21</v>
      </c>
      <c r="J33" s="298"/>
      <c r="K33" s="179"/>
    </row>
    <row r="34" spans="1:11" ht="15.5" x14ac:dyDescent="0.35">
      <c r="A34" s="263">
        <f t="shared" si="2"/>
        <v>22</v>
      </c>
      <c r="B34" s="56" t="s">
        <v>41</v>
      </c>
      <c r="C34" s="495"/>
      <c r="D34" s="495"/>
      <c r="E34" s="502"/>
      <c r="F34" s="502">
        <f>F26</f>
        <v>17768901.02997864</v>
      </c>
      <c r="G34" s="506" t="s">
        <v>42</v>
      </c>
      <c r="H34" s="264">
        <f t="shared" si="4"/>
        <v>22</v>
      </c>
      <c r="J34" s="298"/>
      <c r="K34" s="179"/>
    </row>
    <row r="35" spans="1:11" ht="15.5" x14ac:dyDescent="0.35">
      <c r="A35" s="263">
        <f t="shared" si="2"/>
        <v>23</v>
      </c>
      <c r="B35" s="56"/>
      <c r="C35" s="495"/>
      <c r="D35" s="495"/>
      <c r="E35" s="502"/>
      <c r="F35" s="502"/>
      <c r="G35" s="49"/>
      <c r="H35" s="264">
        <f t="shared" si="4"/>
        <v>23</v>
      </c>
      <c r="J35" s="298"/>
      <c r="K35" s="179"/>
    </row>
    <row r="36" spans="1:11" ht="18.5" x14ac:dyDescent="0.35">
      <c r="A36" s="263">
        <f t="shared" si="2"/>
        <v>24</v>
      </c>
      <c r="B36" s="56" t="s">
        <v>43</v>
      </c>
      <c r="C36" s="50"/>
      <c r="D36" s="50"/>
      <c r="E36" s="502"/>
      <c r="F36" s="502">
        <f>'Stmt BD-Forecast Pump Storage'!N13</f>
        <v>3999.4602867518547</v>
      </c>
      <c r="G36" s="49" t="s">
        <v>44</v>
      </c>
      <c r="H36" s="264">
        <f t="shared" si="4"/>
        <v>24</v>
      </c>
      <c r="J36" s="298"/>
      <c r="K36" s="179"/>
    </row>
    <row r="37" spans="1:11" ht="15.5" x14ac:dyDescent="0.35">
      <c r="A37" s="263">
        <f t="shared" si="2"/>
        <v>25</v>
      </c>
      <c r="B37" s="56"/>
      <c r="C37" s="50"/>
      <c r="D37" s="50"/>
      <c r="E37" s="48"/>
      <c r="F37" s="45"/>
      <c r="G37" s="506"/>
      <c r="H37" s="264">
        <f t="shared" si="4"/>
        <v>25</v>
      </c>
      <c r="J37" s="298"/>
      <c r="K37" s="179"/>
    </row>
    <row r="38" spans="1:11" ht="18.5" x14ac:dyDescent="0.35">
      <c r="A38" s="187">
        <f t="shared" si="2"/>
        <v>26</v>
      </c>
      <c r="B38" s="56" t="s">
        <v>45</v>
      </c>
      <c r="C38" s="50"/>
      <c r="D38" s="50"/>
      <c r="E38" s="48"/>
      <c r="F38" s="46">
        <f>'Stmt BD-Pump Load True Up Adj'!C18</f>
        <v>-15022.293414366017</v>
      </c>
      <c r="G38" s="49" t="s">
        <v>46</v>
      </c>
      <c r="H38" s="264">
        <f t="shared" si="4"/>
        <v>26</v>
      </c>
      <c r="J38" s="298"/>
      <c r="K38" s="179"/>
    </row>
    <row r="39" spans="1:11" ht="15.5" x14ac:dyDescent="0.35">
      <c r="A39" s="263">
        <f t="shared" si="2"/>
        <v>27</v>
      </c>
      <c r="B39" s="66"/>
      <c r="C39" s="22"/>
      <c r="D39" s="22"/>
      <c r="E39" s="91"/>
      <c r="F39" s="771"/>
      <c r="G39" s="49"/>
      <c r="H39" s="264">
        <f t="shared" si="4"/>
        <v>27</v>
      </c>
    </row>
    <row r="40" spans="1:11" ht="16" thickBot="1" x14ac:dyDescent="0.4">
      <c r="A40" s="187">
        <f t="shared" si="2"/>
        <v>28</v>
      </c>
      <c r="B40" s="66" t="s">
        <v>47</v>
      </c>
      <c r="C40" s="22"/>
      <c r="D40" s="22"/>
      <c r="E40" s="236"/>
      <c r="F40" s="772">
        <f>F34+F36+F38</f>
        <v>17757878.196851026</v>
      </c>
      <c r="G40" s="762" t="s">
        <v>48</v>
      </c>
      <c r="H40" s="264">
        <f t="shared" si="4"/>
        <v>28</v>
      </c>
    </row>
    <row r="41" spans="1:11" ht="16.5" thickTop="1" thickBot="1" x14ac:dyDescent="0.4">
      <c r="A41" s="301"/>
      <c r="B41" s="80"/>
      <c r="C41" s="80"/>
      <c r="D41" s="80"/>
      <c r="E41" s="556"/>
      <c r="F41" s="583"/>
      <c r="G41" s="81"/>
      <c r="H41" s="302"/>
    </row>
    <row r="42" spans="1:11" ht="15.5" x14ac:dyDescent="0.35">
      <c r="A42" s="22"/>
      <c r="B42" s="22"/>
      <c r="C42" s="22"/>
      <c r="D42" s="22"/>
      <c r="E42" s="22"/>
      <c r="F42" s="22"/>
      <c r="G42" s="22"/>
      <c r="H42" s="22"/>
    </row>
    <row r="43" spans="1:11" ht="18.5" x14ac:dyDescent="0.35">
      <c r="A43" s="414">
        <v>1</v>
      </c>
      <c r="B43" s="22" t="s">
        <v>49</v>
      </c>
      <c r="C43" s="22"/>
      <c r="D43" s="22"/>
      <c r="E43" s="54"/>
      <c r="F43" s="22"/>
      <c r="G43" s="22"/>
      <c r="H43" s="22"/>
    </row>
    <row r="44" spans="1:11" ht="18.5" x14ac:dyDescent="0.35">
      <c r="A44" s="414">
        <v>2</v>
      </c>
      <c r="B44" s="22" t="s">
        <v>522</v>
      </c>
      <c r="C44" s="22"/>
      <c r="D44" s="22"/>
      <c r="E44" s="22"/>
      <c r="F44" s="22"/>
      <c r="G44" s="22"/>
      <c r="H44" s="22"/>
    </row>
    <row r="45" spans="1:11" ht="15.5" x14ac:dyDescent="0.35">
      <c r="A45" s="22"/>
      <c r="B45" s="22" t="s">
        <v>50</v>
      </c>
      <c r="C45" s="22"/>
      <c r="D45" s="22"/>
      <c r="E45" s="22"/>
      <c r="F45" s="22"/>
      <c r="G45" s="22"/>
      <c r="H45" s="22"/>
    </row>
    <row r="46" spans="1:11" ht="18.5" x14ac:dyDescent="0.35">
      <c r="A46" s="414">
        <v>3</v>
      </c>
      <c r="B46" s="461" t="s">
        <v>51</v>
      </c>
      <c r="C46" s="461"/>
      <c r="D46" s="461"/>
      <c r="E46" s="22"/>
      <c r="F46" s="22"/>
      <c r="G46" s="22"/>
      <c r="H46" s="22"/>
    </row>
    <row r="47" spans="1:11" ht="18.5" x14ac:dyDescent="0.35">
      <c r="A47" s="414">
        <v>4</v>
      </c>
      <c r="B47" s="50" t="s">
        <v>52</v>
      </c>
      <c r="C47" s="50"/>
      <c r="D47" s="50"/>
      <c r="E47" s="22"/>
      <c r="F47" s="22"/>
      <c r="G47" s="22"/>
      <c r="H47" s="22"/>
    </row>
    <row r="48" spans="1:11" ht="15.5" x14ac:dyDescent="0.35">
      <c r="A48" s="22"/>
      <c r="B48" s="22"/>
      <c r="C48" s="22"/>
      <c r="D48" s="22"/>
      <c r="E48" s="22"/>
      <c r="F48" s="22"/>
      <c r="G48" s="22"/>
      <c r="H48" s="22"/>
    </row>
    <row r="49" spans="1:8" ht="15.5" x14ac:dyDescent="0.35">
      <c r="A49" s="22"/>
      <c r="B49" s="22"/>
      <c r="C49" s="22"/>
      <c r="D49" s="22"/>
      <c r="E49" s="22"/>
      <c r="F49" s="22"/>
      <c r="G49" s="22"/>
      <c r="H49" s="22"/>
    </row>
    <row r="50" spans="1:8" ht="15.5" x14ac:dyDescent="0.35">
      <c r="A50" s="22"/>
      <c r="B50" s="22"/>
      <c r="C50" s="22"/>
      <c r="D50" s="22"/>
      <c r="E50" s="22"/>
      <c r="F50" s="22"/>
      <c r="G50" s="22"/>
      <c r="H50" s="22"/>
    </row>
    <row r="51" spans="1:8" ht="15.5" x14ac:dyDescent="0.35">
      <c r="A51" s="22"/>
      <c r="B51" s="22"/>
      <c r="C51" s="22"/>
      <c r="D51" s="22"/>
      <c r="E51" s="22"/>
      <c r="F51" s="22"/>
      <c r="G51" s="22"/>
      <c r="H51" s="22"/>
    </row>
    <row r="52" spans="1:8" ht="15.5" x14ac:dyDescent="0.35">
      <c r="A52" s="22"/>
      <c r="B52" s="22"/>
      <c r="C52" s="22"/>
      <c r="D52" s="22"/>
      <c r="E52" s="22"/>
      <c r="F52" s="22"/>
      <c r="G52" s="22"/>
      <c r="H52" s="22"/>
    </row>
    <row r="53" spans="1:8" ht="15.5" x14ac:dyDescent="0.35">
      <c r="A53" s="22"/>
      <c r="B53" s="22"/>
      <c r="C53" s="22"/>
      <c r="D53" s="22"/>
      <c r="E53" s="22"/>
      <c r="F53" s="22"/>
      <c r="G53" s="22"/>
      <c r="H53" s="22"/>
    </row>
    <row r="54" spans="1:8" ht="15.5" x14ac:dyDescent="0.35">
      <c r="A54" s="22"/>
      <c r="B54" s="22"/>
      <c r="C54" s="22"/>
      <c r="D54" s="22"/>
      <c r="E54" s="22"/>
      <c r="F54" s="22"/>
      <c r="G54" s="22"/>
      <c r="H54" s="22"/>
    </row>
    <row r="55" spans="1:8" ht="15.5" x14ac:dyDescent="0.35">
      <c r="A55" s="22"/>
      <c r="B55" s="22"/>
      <c r="C55" s="22"/>
      <c r="D55" s="22"/>
      <c r="E55" s="22"/>
      <c r="F55" s="22"/>
      <c r="G55" s="22"/>
      <c r="H55" s="22"/>
    </row>
    <row r="56" spans="1:8" ht="15.5" x14ac:dyDescent="0.35">
      <c r="A56" s="22"/>
      <c r="B56" s="22"/>
      <c r="C56" s="22"/>
      <c r="D56" s="22"/>
      <c r="E56" s="22"/>
      <c r="F56" s="22"/>
      <c r="G56" s="22"/>
      <c r="H56" s="22"/>
    </row>
    <row r="57" spans="1:8" ht="15.5" x14ac:dyDescent="0.35">
      <c r="A57" s="22"/>
      <c r="B57" s="22"/>
      <c r="C57" s="22"/>
      <c r="D57" s="22"/>
      <c r="E57" s="22"/>
      <c r="F57" s="22"/>
      <c r="G57" s="22"/>
      <c r="H57" s="22"/>
    </row>
    <row r="58" spans="1:8" ht="15.5" x14ac:dyDescent="0.35">
      <c r="A58" s="22"/>
      <c r="B58" s="22"/>
      <c r="C58" s="22"/>
      <c r="D58" s="22"/>
      <c r="E58" s="22"/>
      <c r="F58" s="22"/>
      <c r="G58" s="22"/>
      <c r="H58" s="22"/>
    </row>
    <row r="59" spans="1:8" ht="15.5" x14ac:dyDescent="0.35">
      <c r="A59" s="22"/>
      <c r="B59" s="22"/>
      <c r="C59" s="22"/>
      <c r="D59" s="22"/>
      <c r="E59" s="22"/>
      <c r="F59" s="22"/>
      <c r="G59" s="22"/>
      <c r="H59" s="22"/>
    </row>
    <row r="60" spans="1:8" ht="15.5" x14ac:dyDescent="0.35">
      <c r="A60" s="22"/>
      <c r="B60" s="22"/>
      <c r="C60" s="22"/>
      <c r="D60" s="22"/>
      <c r="E60" s="22"/>
      <c r="F60" s="22"/>
      <c r="G60" s="22"/>
      <c r="H60" s="22"/>
    </row>
    <row r="61" spans="1:8" ht="15.5" x14ac:dyDescent="0.35">
      <c r="A61" s="22"/>
      <c r="B61" s="22"/>
      <c r="C61" s="22"/>
      <c r="D61" s="22"/>
      <c r="E61" s="22"/>
      <c r="F61" s="22"/>
      <c r="G61" s="22"/>
      <c r="H61" s="22"/>
    </row>
    <row r="62" spans="1:8" ht="15.5" x14ac:dyDescent="0.35">
      <c r="A62" s="22"/>
      <c r="B62" s="22"/>
      <c r="C62" s="22"/>
      <c r="D62" s="22"/>
      <c r="E62" s="22"/>
      <c r="F62" s="22"/>
      <c r="G62" s="22"/>
      <c r="H62" s="22"/>
    </row>
    <row r="63" spans="1:8" ht="15.5" x14ac:dyDescent="0.35">
      <c r="A63" s="22"/>
      <c r="B63" s="22"/>
      <c r="C63" s="22"/>
      <c r="D63" s="22"/>
      <c r="E63" s="22"/>
      <c r="F63" s="22"/>
      <c r="G63" s="22"/>
      <c r="H63" s="22"/>
    </row>
    <row r="64" spans="1:8" ht="15.5" x14ac:dyDescent="0.35">
      <c r="A64" s="22"/>
      <c r="B64" s="22"/>
      <c r="C64" s="22"/>
      <c r="D64" s="22"/>
      <c r="E64" s="22"/>
      <c r="F64" s="22"/>
      <c r="G64" s="22"/>
      <c r="H64" s="22"/>
    </row>
    <row r="65" spans="1:8" ht="15.5" x14ac:dyDescent="0.35">
      <c r="A65" s="22"/>
      <c r="B65" s="22"/>
      <c r="C65" s="22"/>
      <c r="D65" s="22"/>
      <c r="E65" s="22"/>
      <c r="F65" s="22"/>
      <c r="G65" s="22"/>
      <c r="H65" s="22"/>
    </row>
    <row r="66" spans="1:8" ht="15.5" x14ac:dyDescent="0.35">
      <c r="A66" s="22"/>
      <c r="B66" s="22"/>
      <c r="C66" s="22"/>
      <c r="D66" s="22"/>
      <c r="E66" s="22"/>
      <c r="F66" s="22"/>
      <c r="G66" s="22"/>
      <c r="H66" s="22"/>
    </row>
    <row r="67" spans="1:8" ht="15.5" x14ac:dyDescent="0.35">
      <c r="A67" s="22"/>
      <c r="B67" s="22"/>
      <c r="C67" s="22"/>
      <c r="D67" s="22"/>
      <c r="E67" s="22"/>
      <c r="F67" s="22"/>
      <c r="G67" s="22"/>
      <c r="H67" s="22"/>
    </row>
  </sheetData>
  <phoneticPr fontId="0" type="noConversion"/>
  <printOptions horizontalCentered="1"/>
  <pageMargins left="0" right="0" top="0.25" bottom="0.75" header="0.25" footer="0.25"/>
  <pageSetup scale="72" orientation="landscape" r:id="rId1"/>
  <headerFooter alignWithMargins="0">
    <oddFooter>&amp;L&amp;"Times New Roman,Regular"&amp;12&amp;F&amp;C&amp;"Times New Roman,Regular"&amp;12Page 3 of 5&amp;R&amp;"Times New Roman,Regular"&amp;12&amp;A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2:S53"/>
  <sheetViews>
    <sheetView zoomScale="80" zoomScaleNormal="80" zoomScaleSheetLayoutView="75" workbookViewId="0">
      <pane xSplit="3" ySplit="3" topLeftCell="G4" activePane="bottomRight" state="frozen"/>
      <selection pane="topRight"/>
      <selection pane="bottomLeft"/>
      <selection pane="bottomRight"/>
    </sheetView>
  </sheetViews>
  <sheetFormatPr defaultColWidth="9.453125" defaultRowHeight="12.5" x14ac:dyDescent="0.25"/>
  <cols>
    <col min="1" max="1" width="5.54296875" style="243" customWidth="1"/>
    <col min="2" max="2" width="8.54296875" style="243" customWidth="1"/>
    <col min="3" max="3" width="58.54296875" style="243" customWidth="1"/>
    <col min="4" max="14" width="12.54296875" style="374" customWidth="1"/>
    <col min="15" max="16" width="15.54296875" style="374" customWidth="1"/>
    <col min="17" max="17" width="5.54296875" style="243" customWidth="1"/>
    <col min="18" max="18" width="2.54296875" style="243" bestFit="1" customWidth="1"/>
    <col min="19" max="16384" width="9.453125" style="243"/>
  </cols>
  <sheetData>
    <row r="2" spans="1:18" ht="16" thickBot="1" x14ac:dyDescent="0.4">
      <c r="A2" s="55"/>
      <c r="B2" s="31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55"/>
    </row>
    <row r="3" spans="1:18" ht="38.75" customHeight="1" thickBot="1" x14ac:dyDescent="0.4">
      <c r="A3" s="315" t="s">
        <v>70</v>
      </c>
      <c r="B3" s="315" t="s">
        <v>427</v>
      </c>
      <c r="C3" s="542" t="s">
        <v>478</v>
      </c>
      <c r="D3" s="368">
        <f>'WP 10 ETC Costs'!D3</f>
        <v>44470</v>
      </c>
      <c r="E3" s="367">
        <f>'WP 10 ETC Costs'!E3</f>
        <v>44501</v>
      </c>
      <c r="F3" s="369">
        <f>'WP 10 ETC Costs'!F3</f>
        <v>44531</v>
      </c>
      <c r="G3" s="368">
        <f>'WP 10 ETC Costs'!G3</f>
        <v>44562</v>
      </c>
      <c r="H3" s="367">
        <f>'WP 10 ETC Costs'!H3</f>
        <v>44593</v>
      </c>
      <c r="I3" s="369">
        <f>'WP 10 ETC Costs'!I3</f>
        <v>44621</v>
      </c>
      <c r="J3" s="368">
        <f>'WP 10 ETC Costs'!J3</f>
        <v>44652</v>
      </c>
      <c r="K3" s="367">
        <f>'WP 10 ETC Costs'!K3</f>
        <v>44682</v>
      </c>
      <c r="L3" s="369">
        <f>'WP 10 ETC Costs'!L3</f>
        <v>44713</v>
      </c>
      <c r="M3" s="366">
        <f>'WP 10 ETC Costs'!M3</f>
        <v>44743</v>
      </c>
      <c r="N3" s="367">
        <f>'WP 10 ETC Costs'!N3</f>
        <v>44774</v>
      </c>
      <c r="O3" s="366">
        <f>'WP 10 ETC Costs'!O3</f>
        <v>44805</v>
      </c>
      <c r="P3" s="381" t="s">
        <v>18</v>
      </c>
      <c r="Q3" s="462" t="s">
        <v>70</v>
      </c>
    </row>
    <row r="4" spans="1:18" ht="15" x14ac:dyDescent="0.3">
      <c r="A4" s="314"/>
      <c r="B4" s="314"/>
      <c r="C4" s="787"/>
      <c r="D4" s="371"/>
      <c r="E4" s="370"/>
      <c r="F4" s="720"/>
      <c r="G4" s="371"/>
      <c r="H4" s="370"/>
      <c r="I4" s="720"/>
      <c r="J4" s="371"/>
      <c r="K4" s="370"/>
      <c r="L4" s="720"/>
      <c r="M4" s="541"/>
      <c r="N4" s="370"/>
      <c r="O4" s="541"/>
      <c r="P4" s="465"/>
      <c r="Q4" s="463"/>
      <c r="R4" s="3"/>
    </row>
    <row r="5" spans="1:18" ht="15.5" x14ac:dyDescent="0.35">
      <c r="A5" s="735">
        <f>A4+1</f>
        <v>1</v>
      </c>
      <c r="B5" s="735">
        <v>1592</v>
      </c>
      <c r="C5" s="902" t="s">
        <v>429</v>
      </c>
      <c r="D5" s="737">
        <v>-414.61</v>
      </c>
      <c r="E5" s="738">
        <v>0</v>
      </c>
      <c r="F5" s="739">
        <v>0</v>
      </c>
      <c r="G5" s="737">
        <v>0</v>
      </c>
      <c r="H5" s="738">
        <v>0</v>
      </c>
      <c r="I5" s="739">
        <v>0</v>
      </c>
      <c r="J5" s="737">
        <v>0</v>
      </c>
      <c r="K5" s="738">
        <v>0</v>
      </c>
      <c r="L5" s="739">
        <v>0</v>
      </c>
      <c r="M5" s="740">
        <v>0</v>
      </c>
      <c r="N5" s="738">
        <v>0</v>
      </c>
      <c r="O5" s="740">
        <v>0</v>
      </c>
      <c r="P5" s="741">
        <f>SUM(D5:O5)</f>
        <v>-414.61</v>
      </c>
      <c r="Q5" s="736">
        <v>1</v>
      </c>
      <c r="R5" s="3"/>
    </row>
    <row r="6" spans="1:18" ht="15.5" x14ac:dyDescent="0.35">
      <c r="A6" s="735">
        <f>A5+1</f>
        <v>2</v>
      </c>
      <c r="B6" s="735"/>
      <c r="C6" s="903"/>
      <c r="D6" s="371"/>
      <c r="E6" s="370"/>
      <c r="F6" s="720"/>
      <c r="G6" s="371"/>
      <c r="H6" s="370"/>
      <c r="I6" s="720"/>
      <c r="J6" s="371"/>
      <c r="K6" s="370"/>
      <c r="L6" s="720"/>
      <c r="M6" s="541"/>
      <c r="N6" s="370"/>
      <c r="O6" s="541"/>
      <c r="P6" s="465"/>
      <c r="Q6" s="736">
        <f>Q5+1</f>
        <v>2</v>
      </c>
      <c r="R6" s="3"/>
    </row>
    <row r="7" spans="1:18" ht="15.5" x14ac:dyDescent="0.35">
      <c r="A7" s="735">
        <f t="shared" ref="A7:A23" si="0">A6+1</f>
        <v>3</v>
      </c>
      <c r="B7" s="120">
        <v>7989</v>
      </c>
      <c r="C7" s="22" t="s">
        <v>443</v>
      </c>
      <c r="D7" s="117">
        <v>-7494.82</v>
      </c>
      <c r="E7" s="44">
        <v>-15028.39</v>
      </c>
      <c r="F7" s="119">
        <v>-7089.05</v>
      </c>
      <c r="G7" s="117">
        <v>-3304.92</v>
      </c>
      <c r="H7" s="44">
        <v>-247.29</v>
      </c>
      <c r="I7" s="119">
        <v>-923.99</v>
      </c>
      <c r="J7" s="117">
        <v>-648.75</v>
      </c>
      <c r="K7" s="44">
        <v>-522.52</v>
      </c>
      <c r="L7" s="119">
        <v>-798.78</v>
      </c>
      <c r="M7" s="93">
        <v>-6043.82</v>
      </c>
      <c r="N7" s="44">
        <v>-5237.05</v>
      </c>
      <c r="O7" s="93">
        <v>-5299.8</v>
      </c>
      <c r="P7" s="148">
        <f>SUM(D7:O7)</f>
        <v>-52639.18</v>
      </c>
      <c r="Q7" s="736">
        <f t="shared" ref="Q7:Q8" si="1">Q6+1</f>
        <v>3</v>
      </c>
    </row>
    <row r="8" spans="1:18" ht="15.5" x14ac:dyDescent="0.35">
      <c r="A8" s="735">
        <f t="shared" si="0"/>
        <v>4</v>
      </c>
      <c r="B8" s="120"/>
      <c r="C8" s="22"/>
      <c r="D8" s="351"/>
      <c r="E8" s="141"/>
      <c r="F8" s="329"/>
      <c r="G8" s="351"/>
      <c r="H8" s="141"/>
      <c r="I8" s="329"/>
      <c r="J8" s="351"/>
      <c r="K8" s="141"/>
      <c r="L8" s="329"/>
      <c r="M8" s="328"/>
      <c r="N8" s="141"/>
      <c r="O8" s="328"/>
      <c r="P8" s="466"/>
      <c r="Q8" s="736">
        <f t="shared" si="1"/>
        <v>4</v>
      </c>
    </row>
    <row r="9" spans="1:18" ht="15.5" x14ac:dyDescent="0.35">
      <c r="A9" s="735">
        <f t="shared" si="0"/>
        <v>5</v>
      </c>
      <c r="B9" s="120">
        <v>7999</v>
      </c>
      <c r="C9" s="22" t="s">
        <v>444</v>
      </c>
      <c r="D9" s="117">
        <v>0</v>
      </c>
      <c r="E9" s="44">
        <v>0</v>
      </c>
      <c r="F9" s="119">
        <v>942.53</v>
      </c>
      <c r="G9" s="117">
        <v>0</v>
      </c>
      <c r="H9" s="44">
        <v>1698.1399999999999</v>
      </c>
      <c r="I9" s="119">
        <v>20978.12</v>
      </c>
      <c r="J9" s="117">
        <v>145830.01999999999</v>
      </c>
      <c r="K9" s="44">
        <v>38686.99</v>
      </c>
      <c r="L9" s="119">
        <v>0</v>
      </c>
      <c r="M9" s="93">
        <v>9495.26</v>
      </c>
      <c r="N9" s="44">
        <v>0</v>
      </c>
      <c r="O9" s="93">
        <v>5047.7300000000005</v>
      </c>
      <c r="P9" s="148">
        <f t="shared" ref="P9" si="2">SUM(D9:O9)</f>
        <v>222678.79</v>
      </c>
      <c r="Q9" s="350">
        <f t="shared" ref="Q9:Q23" si="3">Q8+1</f>
        <v>5</v>
      </c>
      <c r="R9" s="22"/>
    </row>
    <row r="10" spans="1:18" ht="15.5" x14ac:dyDescent="0.35">
      <c r="A10" s="735">
        <f t="shared" si="0"/>
        <v>6</v>
      </c>
      <c r="B10" s="120"/>
      <c r="C10" s="22"/>
      <c r="D10" s="117"/>
      <c r="E10" s="44"/>
      <c r="F10" s="119"/>
      <c r="G10" s="117"/>
      <c r="H10" s="44"/>
      <c r="I10" s="119"/>
      <c r="J10" s="117"/>
      <c r="K10" s="44"/>
      <c r="L10" s="119"/>
      <c r="M10" s="93"/>
      <c r="N10" s="44"/>
      <c r="O10" s="889" t="s">
        <v>479</v>
      </c>
      <c r="P10" s="148"/>
      <c r="Q10" s="350">
        <f t="shared" si="3"/>
        <v>6</v>
      </c>
      <c r="R10" s="22"/>
    </row>
    <row r="11" spans="1:18" ht="15.5" x14ac:dyDescent="0.35">
      <c r="A11" s="735">
        <f t="shared" si="0"/>
        <v>7</v>
      </c>
      <c r="B11" s="120">
        <v>8526</v>
      </c>
      <c r="C11" s="22" t="s">
        <v>480</v>
      </c>
      <c r="D11" s="117">
        <v>-37.76</v>
      </c>
      <c r="E11" s="44">
        <v>0</v>
      </c>
      <c r="F11" s="119">
        <v>0</v>
      </c>
      <c r="G11" s="117">
        <v>0</v>
      </c>
      <c r="H11" s="44">
        <v>0</v>
      </c>
      <c r="I11" s="119">
        <v>0</v>
      </c>
      <c r="J11" s="117">
        <v>0</v>
      </c>
      <c r="K11" s="44">
        <v>0</v>
      </c>
      <c r="L11" s="119">
        <v>0</v>
      </c>
      <c r="M11" s="93">
        <v>0</v>
      </c>
      <c r="N11" s="44">
        <v>0</v>
      </c>
      <c r="O11" s="93">
        <v>-654047.44999999995</v>
      </c>
      <c r="P11" s="148">
        <f>SUM(D11:O11)</f>
        <v>-654085.21</v>
      </c>
      <c r="Q11" s="350">
        <f t="shared" si="3"/>
        <v>7</v>
      </c>
      <c r="R11" s="22"/>
    </row>
    <row r="12" spans="1:18" ht="15.5" x14ac:dyDescent="0.35">
      <c r="A12" s="735">
        <f t="shared" si="0"/>
        <v>8</v>
      </c>
      <c r="B12" s="120"/>
      <c r="C12" s="22"/>
      <c r="D12" s="117"/>
      <c r="E12" s="44"/>
      <c r="F12" s="119"/>
      <c r="G12" s="117"/>
      <c r="H12" s="44"/>
      <c r="I12" s="119"/>
      <c r="J12" s="117"/>
      <c r="K12" s="44"/>
      <c r="L12" s="119"/>
      <c r="M12" s="93"/>
      <c r="N12" s="44"/>
      <c r="O12" s="93"/>
      <c r="P12" s="148"/>
      <c r="Q12" s="350">
        <f t="shared" si="3"/>
        <v>8</v>
      </c>
      <c r="R12" s="22"/>
    </row>
    <row r="13" spans="1:18" ht="15.5" x14ac:dyDescent="0.35">
      <c r="A13" s="735">
        <f t="shared" si="0"/>
        <v>9</v>
      </c>
      <c r="B13" s="120">
        <v>8989</v>
      </c>
      <c r="C13" s="22" t="s">
        <v>481</v>
      </c>
      <c r="D13" s="117">
        <v>0</v>
      </c>
      <c r="E13" s="44">
        <v>0</v>
      </c>
      <c r="F13" s="119">
        <v>0</v>
      </c>
      <c r="G13" s="117">
        <v>0</v>
      </c>
      <c r="H13" s="44">
        <v>0</v>
      </c>
      <c r="I13" s="119">
        <v>0</v>
      </c>
      <c r="J13" s="117">
        <v>0</v>
      </c>
      <c r="K13" s="44">
        <v>0</v>
      </c>
      <c r="L13" s="119">
        <v>0</v>
      </c>
      <c r="M13" s="93">
        <v>0</v>
      </c>
      <c r="N13" s="44">
        <v>0</v>
      </c>
      <c r="O13" s="93">
        <v>0</v>
      </c>
      <c r="P13" s="148">
        <f>SUM(D13:O13)</f>
        <v>0</v>
      </c>
      <c r="Q13" s="350">
        <f t="shared" si="3"/>
        <v>9</v>
      </c>
      <c r="R13" s="22"/>
    </row>
    <row r="14" spans="1:18" ht="15.5" x14ac:dyDescent="0.35">
      <c r="A14" s="735">
        <f t="shared" si="0"/>
        <v>10</v>
      </c>
      <c r="B14" s="120"/>
      <c r="C14" s="22"/>
      <c r="D14" s="117"/>
      <c r="E14" s="44"/>
      <c r="F14" s="119"/>
      <c r="G14" s="117"/>
      <c r="H14" s="44"/>
      <c r="I14" s="119"/>
      <c r="J14" s="117"/>
      <c r="K14" s="44"/>
      <c r="L14" s="119"/>
      <c r="M14" s="93"/>
      <c r="N14" s="44"/>
      <c r="O14" s="93"/>
      <c r="P14" s="148"/>
      <c r="Q14" s="350">
        <f t="shared" si="3"/>
        <v>10</v>
      </c>
      <c r="R14" s="22"/>
    </row>
    <row r="15" spans="1:18" ht="15.5" x14ac:dyDescent="0.35">
      <c r="A15" s="735">
        <f t="shared" si="0"/>
        <v>11</v>
      </c>
      <c r="B15" s="120">
        <v>8999</v>
      </c>
      <c r="C15" s="22" t="s">
        <v>471</v>
      </c>
      <c r="D15" s="117">
        <v>0</v>
      </c>
      <c r="E15" s="44">
        <v>0</v>
      </c>
      <c r="F15" s="119">
        <v>0</v>
      </c>
      <c r="G15" s="117">
        <v>0</v>
      </c>
      <c r="H15" s="44">
        <v>0</v>
      </c>
      <c r="I15" s="119">
        <v>0</v>
      </c>
      <c r="J15" s="117">
        <v>0</v>
      </c>
      <c r="K15" s="44">
        <v>0</v>
      </c>
      <c r="L15" s="119">
        <v>0</v>
      </c>
      <c r="M15" s="93">
        <v>0</v>
      </c>
      <c r="N15" s="44">
        <v>0</v>
      </c>
      <c r="O15" s="93">
        <v>0</v>
      </c>
      <c r="P15" s="148">
        <f>SUM(D15:O15)</f>
        <v>0</v>
      </c>
      <c r="Q15" s="350">
        <f t="shared" si="3"/>
        <v>11</v>
      </c>
      <c r="R15" s="22"/>
    </row>
    <row r="16" spans="1:18" ht="15.5" x14ac:dyDescent="0.35">
      <c r="A16" s="735">
        <f t="shared" si="0"/>
        <v>12</v>
      </c>
      <c r="B16" s="120"/>
      <c r="C16" s="22"/>
      <c r="D16" s="483"/>
      <c r="E16" s="476"/>
      <c r="F16" s="484"/>
      <c r="G16" s="483"/>
      <c r="H16" s="476"/>
      <c r="I16" s="484"/>
      <c r="J16" s="483"/>
      <c r="K16" s="476"/>
      <c r="L16" s="484"/>
      <c r="M16" s="485"/>
      <c r="N16" s="476"/>
      <c r="O16" s="485"/>
      <c r="P16" s="487"/>
      <c r="Q16" s="350">
        <f t="shared" si="3"/>
        <v>12</v>
      </c>
      <c r="R16" s="22"/>
    </row>
    <row r="17" spans="1:19" ht="16" thickBot="1" x14ac:dyDescent="0.4">
      <c r="A17" s="735">
        <f t="shared" si="0"/>
        <v>13</v>
      </c>
      <c r="B17" s="186"/>
      <c r="C17" s="3" t="s">
        <v>472</v>
      </c>
      <c r="D17" s="489">
        <f t="shared" ref="D17:P17" si="4">SUM(D5:D15)</f>
        <v>-7947.19</v>
      </c>
      <c r="E17" s="192">
        <f t="shared" si="4"/>
        <v>-15028.39</v>
      </c>
      <c r="F17" s="486">
        <f t="shared" si="4"/>
        <v>-6146.52</v>
      </c>
      <c r="G17" s="489">
        <f t="shared" si="4"/>
        <v>-3304.92</v>
      </c>
      <c r="H17" s="192">
        <f t="shared" si="4"/>
        <v>1450.85</v>
      </c>
      <c r="I17" s="490">
        <f t="shared" si="4"/>
        <v>20054.129999999997</v>
      </c>
      <c r="J17" s="489">
        <f t="shared" si="4"/>
        <v>145181.26999999999</v>
      </c>
      <c r="K17" s="192">
        <f t="shared" si="4"/>
        <v>38164.47</v>
      </c>
      <c r="L17" s="490">
        <f t="shared" si="4"/>
        <v>-798.78</v>
      </c>
      <c r="M17" s="489">
        <f t="shared" si="4"/>
        <v>3451.4400000000005</v>
      </c>
      <c r="N17" s="192">
        <f t="shared" si="4"/>
        <v>-5237.05</v>
      </c>
      <c r="O17" s="486">
        <f t="shared" si="4"/>
        <v>-654299.5199999999</v>
      </c>
      <c r="P17" s="488">
        <f t="shared" si="4"/>
        <v>-484460.20999999996</v>
      </c>
      <c r="Q17" s="350">
        <f t="shared" si="3"/>
        <v>13</v>
      </c>
      <c r="R17" s="22"/>
    </row>
    <row r="18" spans="1:19" ht="16.5" thickTop="1" thickBot="1" x14ac:dyDescent="0.4">
      <c r="A18" s="121">
        <f t="shared" si="0"/>
        <v>14</v>
      </c>
      <c r="B18" s="126"/>
      <c r="C18" s="861"/>
      <c r="D18" s="324"/>
      <c r="E18" s="319"/>
      <c r="F18" s="451"/>
      <c r="G18" s="450"/>
      <c r="H18" s="319"/>
      <c r="I18" s="451"/>
      <c r="J18" s="450"/>
      <c r="K18" s="319"/>
      <c r="L18" s="451"/>
      <c r="M18" s="318"/>
      <c r="N18" s="319"/>
      <c r="O18" s="318"/>
      <c r="P18" s="452"/>
      <c r="Q18" s="464">
        <f t="shared" si="3"/>
        <v>14</v>
      </c>
      <c r="R18" s="22"/>
      <c r="S18" s="373"/>
    </row>
    <row r="19" spans="1:19" ht="15.5" x14ac:dyDescent="0.35">
      <c r="A19" s="150">
        <f t="shared" si="0"/>
        <v>15</v>
      </c>
      <c r="B19" s="247"/>
      <c r="C19" s="904"/>
      <c r="D19" s="312"/>
      <c r="E19" s="311"/>
      <c r="F19" s="313"/>
      <c r="G19" s="526"/>
      <c r="H19" s="304"/>
      <c r="I19" s="525"/>
      <c r="J19" s="312"/>
      <c r="K19" s="311"/>
      <c r="L19" s="313"/>
      <c r="M19" s="312"/>
      <c r="N19" s="311"/>
      <c r="O19" s="313"/>
      <c r="P19" s="723"/>
      <c r="Q19" s="460">
        <f t="shared" si="3"/>
        <v>15</v>
      </c>
      <c r="R19" s="22"/>
      <c r="S19" s="373"/>
    </row>
    <row r="20" spans="1:19" s="788" customFormat="1" ht="31" x14ac:dyDescent="0.25">
      <c r="A20" s="905">
        <f t="shared" si="0"/>
        <v>16</v>
      </c>
      <c r="B20" s="375"/>
      <c r="C20" s="906" t="s">
        <v>482</v>
      </c>
      <c r="D20" s="376">
        <f t="shared" ref="D20:O20" si="5">D17</f>
        <v>-7947.19</v>
      </c>
      <c r="E20" s="358">
        <f t="shared" si="5"/>
        <v>-15028.39</v>
      </c>
      <c r="F20" s="377">
        <f t="shared" si="5"/>
        <v>-6146.52</v>
      </c>
      <c r="G20" s="376">
        <f t="shared" si="5"/>
        <v>-3304.92</v>
      </c>
      <c r="H20" s="358">
        <f t="shared" si="5"/>
        <v>1450.85</v>
      </c>
      <c r="I20" s="377">
        <f t="shared" si="5"/>
        <v>20054.129999999997</v>
      </c>
      <c r="J20" s="376">
        <f t="shared" si="5"/>
        <v>145181.26999999999</v>
      </c>
      <c r="K20" s="358">
        <f t="shared" si="5"/>
        <v>38164.47</v>
      </c>
      <c r="L20" s="377">
        <f t="shared" si="5"/>
        <v>-798.78</v>
      </c>
      <c r="M20" s="376">
        <f t="shared" si="5"/>
        <v>3451.4400000000005</v>
      </c>
      <c r="N20" s="358">
        <f t="shared" si="5"/>
        <v>-5237.05</v>
      </c>
      <c r="O20" s="377">
        <f t="shared" si="5"/>
        <v>-654299.5199999999</v>
      </c>
      <c r="P20" s="850">
        <f>P17</f>
        <v>-484460.20999999996</v>
      </c>
      <c r="Q20" s="849">
        <f t="shared" si="3"/>
        <v>16</v>
      </c>
      <c r="R20" s="372"/>
    </row>
    <row r="21" spans="1:19" ht="15.5" x14ac:dyDescent="0.35">
      <c r="A21" s="120">
        <f t="shared" si="0"/>
        <v>17</v>
      </c>
      <c r="B21" s="125"/>
      <c r="C21" s="219" t="s">
        <v>483</v>
      </c>
      <c r="D21" s="364">
        <f>'WP 4 Monthly TRBAA '!C20</f>
        <v>-7947.19</v>
      </c>
      <c r="E21" s="154">
        <f>'WP 4 Monthly TRBAA '!D20</f>
        <v>-15028.39</v>
      </c>
      <c r="F21" s="365">
        <f>'WP 4 Monthly TRBAA '!E20</f>
        <v>-6146.52</v>
      </c>
      <c r="G21" s="364">
        <f>'WP 4 Monthly TRBAA '!F20</f>
        <v>-3304.92</v>
      </c>
      <c r="H21" s="154">
        <f>'WP 4 Monthly TRBAA '!G20</f>
        <v>1450.85</v>
      </c>
      <c r="I21" s="365">
        <f>'WP 4 Monthly TRBAA '!H20</f>
        <v>20054.129999999997</v>
      </c>
      <c r="J21" s="364">
        <f>'WP 4 Monthly TRBAA '!I20</f>
        <v>145181.26999999999</v>
      </c>
      <c r="K21" s="154">
        <f>'WP 4 Monthly TRBAA '!J20</f>
        <v>38164.47</v>
      </c>
      <c r="L21" s="365">
        <f>'WP 4 Monthly TRBAA '!K20</f>
        <v>-798.78</v>
      </c>
      <c r="M21" s="364">
        <f>'WP 4 Monthly TRBAA '!L20</f>
        <v>3451.4400000000005</v>
      </c>
      <c r="N21" s="154">
        <f>'WP 4 Monthly TRBAA '!M20</f>
        <v>-5237.05</v>
      </c>
      <c r="O21" s="365">
        <f>'WP 4 Monthly TRBAA '!N20</f>
        <v>-654299.5199999999</v>
      </c>
      <c r="P21" s="725">
        <f>'WP 4 Monthly TRBAA '!O20</f>
        <v>-484460.2099999999</v>
      </c>
      <c r="Q21" s="350">
        <f t="shared" si="3"/>
        <v>17</v>
      </c>
      <c r="R21" s="22"/>
    </row>
    <row r="22" spans="1:19" ht="16" thickBot="1" x14ac:dyDescent="0.4">
      <c r="A22" s="120">
        <f t="shared" si="0"/>
        <v>18</v>
      </c>
      <c r="B22" s="125"/>
      <c r="C22" s="219" t="s">
        <v>76</v>
      </c>
      <c r="D22" s="321">
        <f>D20-D21</f>
        <v>0</v>
      </c>
      <c r="E22" s="320">
        <f t="shared" ref="E22:P22" si="6">E20-E21</f>
        <v>0</v>
      </c>
      <c r="F22" s="323">
        <f t="shared" si="6"/>
        <v>0</v>
      </c>
      <c r="G22" s="321">
        <f t="shared" si="6"/>
        <v>0</v>
      </c>
      <c r="H22" s="155">
        <f t="shared" si="6"/>
        <v>0</v>
      </c>
      <c r="I22" s="322">
        <f t="shared" si="6"/>
        <v>0</v>
      </c>
      <c r="J22" s="321">
        <f t="shared" si="6"/>
        <v>0</v>
      </c>
      <c r="K22" s="155">
        <f t="shared" si="6"/>
        <v>0</v>
      </c>
      <c r="L22" s="322">
        <f t="shared" si="6"/>
        <v>0</v>
      </c>
      <c r="M22" s="321">
        <f t="shared" si="6"/>
        <v>0</v>
      </c>
      <c r="N22" s="155">
        <f t="shared" si="6"/>
        <v>0</v>
      </c>
      <c r="O22" s="322">
        <f t="shared" si="6"/>
        <v>0</v>
      </c>
      <c r="P22" s="726">
        <f t="shared" si="6"/>
        <v>0</v>
      </c>
      <c r="Q22" s="350">
        <f t="shared" si="3"/>
        <v>18</v>
      </c>
      <c r="R22" s="22"/>
    </row>
    <row r="23" spans="1:19" ht="16.5" thickTop="1" thickBot="1" x14ac:dyDescent="0.4">
      <c r="A23" s="121">
        <f t="shared" si="0"/>
        <v>19</v>
      </c>
      <c r="B23" s="126"/>
      <c r="C23" s="212"/>
      <c r="D23" s="324"/>
      <c r="E23" s="305"/>
      <c r="F23" s="128"/>
      <c r="G23" s="127"/>
      <c r="H23" s="305"/>
      <c r="I23" s="128"/>
      <c r="J23" s="127"/>
      <c r="K23" s="305"/>
      <c r="L23" s="128"/>
      <c r="M23" s="127"/>
      <c r="N23" s="305"/>
      <c r="O23" s="128"/>
      <c r="P23" s="727"/>
      <c r="Q23" s="464">
        <f t="shared" si="3"/>
        <v>19</v>
      </c>
      <c r="R23" s="22"/>
    </row>
    <row r="24" spans="1:19" ht="15.5" x14ac:dyDescent="0.35">
      <c r="B24" s="22"/>
      <c r="C24" s="22"/>
      <c r="D24" s="78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40"/>
    </row>
    <row r="25" spans="1:19" ht="33" customHeight="1" x14ac:dyDescent="0.3">
      <c r="A25" s="382" t="s">
        <v>420</v>
      </c>
      <c r="B25" s="987" t="s">
        <v>484</v>
      </c>
      <c r="C25" s="987"/>
      <c r="D25" s="987"/>
      <c r="E25" s="987"/>
      <c r="F25" s="987"/>
      <c r="G25" s="987"/>
      <c r="H25" s="987"/>
      <c r="I25" s="987"/>
      <c r="J25" s="987"/>
      <c r="K25" s="307"/>
      <c r="L25" s="307"/>
      <c r="M25" s="307"/>
      <c r="N25" s="307"/>
      <c r="O25" s="307"/>
      <c r="P25" s="151"/>
    </row>
    <row r="26" spans="1:19" ht="15.5" x14ac:dyDescent="0.35">
      <c r="B26" s="22"/>
      <c r="C26" s="22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</row>
    <row r="27" spans="1:19" ht="51.65" customHeight="1" x14ac:dyDescent="0.25">
      <c r="A27" s="907" t="s">
        <v>479</v>
      </c>
      <c r="B27" s="986" t="s">
        <v>531</v>
      </c>
      <c r="C27" s="986"/>
      <c r="D27" s="986"/>
      <c r="E27" s="986"/>
      <c r="F27" s="986"/>
      <c r="G27" s="986"/>
      <c r="H27" s="986"/>
      <c r="I27" s="986"/>
      <c r="J27" s="986"/>
    </row>
    <row r="28" spans="1:19" ht="18" x14ac:dyDescent="0.35">
      <c r="A28" s="907"/>
      <c r="B28" s="909"/>
      <c r="C28" s="909"/>
      <c r="D28" s="78"/>
      <c r="E28" s="78"/>
      <c r="F28" s="78"/>
      <c r="G28" s="78"/>
    </row>
    <row r="29" spans="1:19" ht="15.5" x14ac:dyDescent="0.35">
      <c r="B29" s="22" t="s">
        <v>232</v>
      </c>
      <c r="C29" s="908"/>
      <c r="D29" s="78"/>
      <c r="E29" s="78"/>
      <c r="F29" s="78"/>
      <c r="G29" s="78"/>
      <c r="H29" s="78"/>
      <c r="I29" s="78"/>
      <c r="J29" s="922"/>
      <c r="L29" s="78"/>
      <c r="M29" s="78"/>
      <c r="N29" s="78"/>
      <c r="O29" s="911">
        <v>-526832.07999999996</v>
      </c>
      <c r="P29" s="912">
        <f>SUM(O29)</f>
        <v>-526832.07999999996</v>
      </c>
    </row>
    <row r="30" spans="1:19" ht="15.5" x14ac:dyDescent="0.35">
      <c r="B30" s="22" t="s">
        <v>233</v>
      </c>
      <c r="C30" s="22"/>
      <c r="D30" s="78"/>
      <c r="E30" s="78"/>
      <c r="F30" s="78"/>
      <c r="G30" s="78"/>
      <c r="H30" s="78"/>
      <c r="I30" s="78"/>
      <c r="J30" s="890"/>
      <c r="L30" s="78"/>
      <c r="M30" s="78"/>
      <c r="N30" s="78"/>
      <c r="O30" s="911">
        <v>-127215.37</v>
      </c>
      <c r="P30" s="913">
        <f>SUM(O30)</f>
        <v>-127215.37</v>
      </c>
    </row>
    <row r="31" spans="1:19" ht="16" thickBot="1" x14ac:dyDescent="0.4">
      <c r="B31" s="22" t="s">
        <v>18</v>
      </c>
      <c r="C31" s="22"/>
      <c r="D31" s="78"/>
      <c r="E31" s="78"/>
      <c r="F31" s="78"/>
      <c r="G31" s="78"/>
      <c r="H31" s="78"/>
      <c r="I31" s="910"/>
      <c r="J31" s="922"/>
      <c r="L31" s="78"/>
      <c r="M31" s="78"/>
      <c r="N31" s="910" t="s">
        <v>479</v>
      </c>
      <c r="O31" s="914">
        <f>SUM(O29:O30)</f>
        <v>-654047.44999999995</v>
      </c>
      <c r="P31" s="914">
        <f>SUM(P29:P30)</f>
        <v>-654047.44999999995</v>
      </c>
    </row>
    <row r="32" spans="1:19" ht="16" thickTop="1" x14ac:dyDescent="0.35">
      <c r="B32" s="22"/>
      <c r="C32" s="22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</row>
    <row r="33" spans="2:16" ht="15.5" x14ac:dyDescent="0.35">
      <c r="B33" s="22"/>
      <c r="C33" s="22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</row>
    <row r="34" spans="2:16" ht="15.5" x14ac:dyDescent="0.35">
      <c r="B34" s="22"/>
      <c r="C34" s="22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</row>
    <row r="35" spans="2:16" ht="15.5" x14ac:dyDescent="0.35">
      <c r="B35" s="22"/>
      <c r="C35" s="22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</row>
    <row r="36" spans="2:16" ht="15.5" x14ac:dyDescent="0.35">
      <c r="B36" s="22"/>
      <c r="C36" s="22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</row>
    <row r="37" spans="2:16" ht="15.5" x14ac:dyDescent="0.35">
      <c r="B37" s="22"/>
      <c r="C37" s="22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</row>
    <row r="38" spans="2:16" ht="15.5" x14ac:dyDescent="0.35">
      <c r="B38" s="22"/>
      <c r="C38" s="22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</row>
    <row r="39" spans="2:16" ht="15.5" x14ac:dyDescent="0.35">
      <c r="B39" s="22"/>
      <c r="C39" s="22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</row>
    <row r="40" spans="2:16" ht="15.5" x14ac:dyDescent="0.35">
      <c r="B40" s="22"/>
      <c r="C40" s="22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</row>
    <row r="41" spans="2:16" ht="15.5" x14ac:dyDescent="0.35">
      <c r="B41" s="22"/>
      <c r="C41" s="22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2:16" ht="15.5" x14ac:dyDescent="0.35">
      <c r="B42" s="22"/>
      <c r="C42" s="22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2:16" ht="15.5" x14ac:dyDescent="0.35">
      <c r="B43" s="22"/>
      <c r="C43" s="22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2:16" ht="15.5" x14ac:dyDescent="0.35">
      <c r="B44" s="22"/>
      <c r="C44" s="22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2:16" ht="15.5" x14ac:dyDescent="0.35">
      <c r="B45" s="22"/>
      <c r="C45" s="22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2:16" ht="15.5" x14ac:dyDescent="0.35">
      <c r="B46" s="22"/>
      <c r="C46" s="22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2:16" ht="15.5" x14ac:dyDescent="0.35">
      <c r="B47" s="22"/>
      <c r="C47" s="22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</row>
    <row r="48" spans="2:16" ht="15.5" x14ac:dyDescent="0.35">
      <c r="B48" s="22"/>
      <c r="C48" s="22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</row>
    <row r="49" spans="2:16" ht="15.5" x14ac:dyDescent="0.35">
      <c r="B49" s="22"/>
      <c r="C49" s="22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</row>
    <row r="50" spans="2:16" ht="15.5" x14ac:dyDescent="0.35">
      <c r="B50" s="22"/>
      <c r="C50" s="22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</row>
    <row r="51" spans="2:16" ht="15.5" x14ac:dyDescent="0.35">
      <c r="B51" s="22"/>
      <c r="C51" s="22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</row>
    <row r="52" spans="2:16" ht="15.5" x14ac:dyDescent="0.35">
      <c r="B52" s="22"/>
      <c r="C52" s="22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</row>
    <row r="53" spans="2:16" ht="15.5" x14ac:dyDescent="0.35">
      <c r="B53" s="22"/>
      <c r="C53" s="22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</row>
  </sheetData>
  <mergeCells count="2">
    <mergeCell ref="B27:J27"/>
    <mergeCell ref="B25:J25"/>
  </mergeCells>
  <printOptions horizontalCentered="1"/>
  <pageMargins left="0.25" right="0.25" top="0.75" bottom="0.5" header="0.5" footer="0.25"/>
  <pageSetup scale="55" orientation="landscape" r:id="rId1"/>
  <headerFooter alignWithMargins="0">
    <oddHeader xml:space="preserve">&amp;C&amp;"Times New Roman,Bold"&amp;12San Diego Gas &amp;&amp; Electric Company
2023 T&amp;K000000RBAA Rate Filing
Details of Monthly Other PTO Related Revenue (Credits)/Charges
</oddHeader>
    <oddFooter>&amp;L&amp;"Times New Roman,Regular"&amp;16&amp;F&amp;C&amp;"Times New Roman,Regular"&amp;16Page 12.&amp;P&amp;R&amp;"Times New Roman,Regular"&amp;16&amp;A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O14"/>
  <sheetViews>
    <sheetView zoomScale="80" zoomScaleNormal="80" workbookViewId="0"/>
  </sheetViews>
  <sheetFormatPr defaultColWidth="9.1796875" defaultRowHeight="14" x14ac:dyDescent="0.3"/>
  <cols>
    <col min="1" max="1" width="20.54296875" style="773" customWidth="1"/>
    <col min="2" max="13" width="7.54296875" style="773" bestFit="1" customWidth="1"/>
    <col min="14" max="14" width="11.453125" style="773" bestFit="1" customWidth="1"/>
    <col min="15" max="16384" width="9.1796875" style="773"/>
  </cols>
  <sheetData>
    <row r="2" spans="1:15" ht="15" x14ac:dyDescent="0.3">
      <c r="A2" s="968" t="s">
        <v>0</v>
      </c>
      <c r="B2" s="968"/>
      <c r="C2" s="968"/>
      <c r="D2" s="968"/>
      <c r="E2" s="968"/>
      <c r="F2" s="968"/>
      <c r="G2" s="968"/>
      <c r="H2" s="968"/>
      <c r="I2" s="968"/>
      <c r="J2" s="968"/>
      <c r="K2" s="968"/>
      <c r="L2" s="968"/>
      <c r="M2" s="968"/>
      <c r="N2" s="968"/>
    </row>
    <row r="3" spans="1:15" ht="15" x14ac:dyDescent="0.3">
      <c r="A3" s="968" t="s">
        <v>53</v>
      </c>
      <c r="B3" s="968"/>
      <c r="C3" s="968"/>
      <c r="D3" s="968"/>
      <c r="E3" s="968"/>
      <c r="F3" s="968"/>
      <c r="G3" s="968"/>
      <c r="H3" s="968"/>
      <c r="I3" s="968"/>
      <c r="J3" s="968"/>
      <c r="K3" s="968"/>
      <c r="L3" s="968"/>
      <c r="M3" s="968"/>
      <c r="N3" s="968"/>
    </row>
    <row r="4" spans="1:15" ht="15" x14ac:dyDescent="0.3">
      <c r="A4" s="968" t="s">
        <v>2</v>
      </c>
      <c r="B4" s="968"/>
      <c r="C4" s="968"/>
      <c r="D4" s="968"/>
      <c r="E4" s="968"/>
      <c r="F4" s="968"/>
      <c r="G4" s="968"/>
      <c r="H4" s="968"/>
      <c r="I4" s="968"/>
      <c r="J4" s="968"/>
      <c r="K4" s="968"/>
      <c r="L4" s="968"/>
      <c r="M4" s="968"/>
      <c r="N4" s="968"/>
    </row>
    <row r="5" spans="1:15" ht="15" x14ac:dyDescent="0.3">
      <c r="A5" s="968" t="s">
        <v>491</v>
      </c>
      <c r="B5" s="968"/>
      <c r="C5" s="968"/>
      <c r="D5" s="968"/>
      <c r="E5" s="968"/>
      <c r="F5" s="968"/>
      <c r="G5" s="968"/>
      <c r="H5" s="968"/>
      <c r="I5" s="968"/>
      <c r="J5" s="968"/>
      <c r="K5" s="968"/>
      <c r="L5" s="968"/>
      <c r="M5" s="968"/>
      <c r="N5" s="968"/>
    </row>
    <row r="6" spans="1:15" ht="15" x14ac:dyDescent="0.3">
      <c r="A6" s="968" t="s">
        <v>26</v>
      </c>
      <c r="B6" s="968"/>
      <c r="C6" s="968"/>
      <c r="D6" s="968"/>
      <c r="E6" s="968"/>
      <c r="F6" s="968"/>
      <c r="G6" s="968"/>
      <c r="H6" s="968"/>
      <c r="I6" s="968"/>
      <c r="J6" s="968"/>
      <c r="K6" s="968"/>
      <c r="L6" s="968"/>
      <c r="M6" s="968"/>
      <c r="N6" s="968"/>
    </row>
    <row r="7" spans="1:15" ht="15.5" thickBot="1" x14ac:dyDescent="0.35">
      <c r="A7" s="774"/>
      <c r="B7" s="774"/>
      <c r="C7" s="774"/>
      <c r="D7" s="774"/>
      <c r="E7" s="774"/>
      <c r="F7" s="774"/>
      <c r="G7" s="774"/>
      <c r="H7" s="774"/>
      <c r="I7" s="774"/>
      <c r="J7" s="774"/>
      <c r="K7" s="774"/>
      <c r="L7" s="774"/>
      <c r="M7" s="774"/>
      <c r="N7" s="774"/>
    </row>
    <row r="8" spans="1:15" ht="14.5" thickBot="1" x14ac:dyDescent="0.35">
      <c r="A8" s="778" t="s">
        <v>492</v>
      </c>
      <c r="B8" s="775" t="s">
        <v>54</v>
      </c>
      <c r="C8" s="776" t="s">
        <v>55</v>
      </c>
      <c r="D8" s="776" t="s">
        <v>56</v>
      </c>
      <c r="E8" s="776" t="s">
        <v>57</v>
      </c>
      <c r="F8" s="776" t="s">
        <v>58</v>
      </c>
      <c r="G8" s="776" t="s">
        <v>59</v>
      </c>
      <c r="H8" s="776" t="s">
        <v>60</v>
      </c>
      <c r="I8" s="776" t="s">
        <v>61</v>
      </c>
      <c r="J8" s="776" t="s">
        <v>62</v>
      </c>
      <c r="K8" s="776" t="s">
        <v>63</v>
      </c>
      <c r="L8" s="776" t="s">
        <v>64</v>
      </c>
      <c r="M8" s="777" t="s">
        <v>65</v>
      </c>
      <c r="N8" s="778" t="s">
        <v>18</v>
      </c>
      <c r="O8" s="779"/>
    </row>
    <row r="9" spans="1:15" ht="42.5" thickBot="1" x14ac:dyDescent="0.35">
      <c r="A9" s="851" t="s">
        <v>66</v>
      </c>
      <c r="B9" s="852">
        <v>22.274566</v>
      </c>
      <c r="C9" s="852">
        <v>78.383150000000001</v>
      </c>
      <c r="D9" s="852">
        <v>0</v>
      </c>
      <c r="E9" s="852">
        <v>0</v>
      </c>
      <c r="F9" s="852">
        <v>0</v>
      </c>
      <c r="G9" s="852">
        <v>72.873305000000002</v>
      </c>
      <c r="H9" s="852">
        <v>502.329116</v>
      </c>
      <c r="I9" s="852">
        <v>1732.1581289999999</v>
      </c>
      <c r="J9" s="852">
        <v>1348.6213769999999</v>
      </c>
      <c r="K9" s="852">
        <v>53.619301999999998</v>
      </c>
      <c r="L9" s="852">
        <v>78.371397000000002</v>
      </c>
      <c r="M9" s="852">
        <v>67.792675000000003</v>
      </c>
      <c r="N9" s="853">
        <f>SUM(B9:M9)</f>
        <v>3956.4230170000001</v>
      </c>
      <c r="O9" s="779"/>
    </row>
    <row r="10" spans="1:15" x14ac:dyDescent="0.3">
      <c r="A10" s="780"/>
      <c r="B10" s="781"/>
      <c r="C10" s="781"/>
      <c r="D10" s="781"/>
      <c r="E10" s="781"/>
      <c r="F10" s="781"/>
      <c r="G10" s="781"/>
      <c r="H10" s="781"/>
      <c r="I10" s="781"/>
      <c r="J10" s="781"/>
      <c r="K10" s="781"/>
      <c r="L10" s="781"/>
      <c r="M10" s="781"/>
      <c r="N10" s="782"/>
      <c r="O10" s="779"/>
    </row>
    <row r="11" spans="1:15" x14ac:dyDescent="0.3">
      <c r="H11" s="773" t="s">
        <v>67</v>
      </c>
      <c r="N11" s="783">
        <v>1.0108778231162168</v>
      </c>
    </row>
    <row r="12" spans="1:15" x14ac:dyDescent="0.3">
      <c r="N12" s="784"/>
    </row>
    <row r="13" spans="1:15" ht="14.5" thickBot="1" x14ac:dyDescent="0.35">
      <c r="H13" s="773" t="s">
        <v>68</v>
      </c>
      <c r="N13" s="785">
        <f>N9*N11</f>
        <v>3999.4602867518547</v>
      </c>
    </row>
    <row r="14" spans="1:15" ht="14.5" thickTop="1" x14ac:dyDescent="0.3">
      <c r="N14" s="786"/>
    </row>
  </sheetData>
  <mergeCells count="5">
    <mergeCell ref="A2:N2"/>
    <mergeCell ref="A3:N3"/>
    <mergeCell ref="A4:N4"/>
    <mergeCell ref="A5:N5"/>
    <mergeCell ref="A6:N6"/>
  </mergeCells>
  <printOptions horizontalCentered="1"/>
  <pageMargins left="0.25" right="0.25" top="0.5" bottom="0.5" header="0.25" footer="0.25"/>
  <pageSetup orientation="landscape" r:id="rId1"/>
  <headerFooter alignWithMargins="0">
    <oddFooter>&amp;L&amp;"Times New Roman,Regular"&amp;12&amp;F&amp;C&amp;"Times New Roman,Regular"&amp;12Page 4 of 5&amp;R&amp;"Times New Roman,Regular"&amp;12&amp;A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ADC20-797C-4235-8D22-6E9C71D54D96}">
  <sheetPr>
    <pageSetUpPr fitToPage="1"/>
  </sheetPr>
  <dimension ref="A2:E21"/>
  <sheetViews>
    <sheetView zoomScale="80" zoomScaleNormal="80" workbookViewId="0"/>
  </sheetViews>
  <sheetFormatPr defaultColWidth="9.1796875" defaultRowHeight="14.5" x14ac:dyDescent="0.35"/>
  <cols>
    <col min="1" max="1" width="9.1796875" style="834"/>
    <col min="2" max="2" width="54" style="843" customWidth="1"/>
    <col min="3" max="3" width="10.453125" style="834" bestFit="1" customWidth="1"/>
    <col min="4" max="4" width="30.1796875" style="834" customWidth="1"/>
    <col min="5" max="5" width="12.453125" style="834" customWidth="1"/>
    <col min="6" max="16384" width="9.1796875" style="834"/>
  </cols>
  <sheetData>
    <row r="2" spans="1:5" ht="15.5" x14ac:dyDescent="0.35">
      <c r="B2" s="969" t="s">
        <v>0</v>
      </c>
      <c r="C2" s="969"/>
      <c r="D2" s="969"/>
    </row>
    <row r="3" spans="1:5" ht="15.5" x14ac:dyDescent="0.35">
      <c r="B3" s="969" t="s">
        <v>53</v>
      </c>
      <c r="C3" s="969"/>
      <c r="D3" s="969"/>
    </row>
    <row r="4" spans="1:5" ht="15.5" x14ac:dyDescent="0.35">
      <c r="B4" s="969" t="s">
        <v>2</v>
      </c>
      <c r="C4" s="969"/>
      <c r="D4" s="969"/>
    </row>
    <row r="5" spans="1:5" ht="15.5" x14ac:dyDescent="0.35">
      <c r="B5" s="969" t="s">
        <v>69</v>
      </c>
      <c r="C5" s="969"/>
      <c r="D5" s="969"/>
    </row>
    <row r="6" spans="1:5" ht="15.5" x14ac:dyDescent="0.35">
      <c r="B6" s="969" t="s">
        <v>493</v>
      </c>
      <c r="C6" s="969"/>
      <c r="D6" s="969"/>
    </row>
    <row r="7" spans="1:5" ht="15.5" x14ac:dyDescent="0.35">
      <c r="B7" s="835"/>
      <c r="C7" s="835"/>
      <c r="D7" s="835"/>
    </row>
    <row r="8" spans="1:5" ht="16" thickBot="1" x14ac:dyDescent="0.4">
      <c r="A8" s="836" t="s">
        <v>70</v>
      </c>
      <c r="B8" s="836" t="s">
        <v>71</v>
      </c>
      <c r="C8" s="836" t="s">
        <v>72</v>
      </c>
      <c r="D8" s="836" t="s">
        <v>16</v>
      </c>
      <c r="E8" s="836" t="s">
        <v>70</v>
      </c>
    </row>
    <row r="9" spans="1:5" ht="15.5" x14ac:dyDescent="0.35">
      <c r="A9" s="837"/>
      <c r="B9" s="757"/>
      <c r="C9" s="758"/>
      <c r="D9" s="759"/>
      <c r="E9" s="838"/>
    </row>
    <row r="10" spans="1:5" ht="15.5" x14ac:dyDescent="0.35">
      <c r="A10" s="837">
        <v>1</v>
      </c>
      <c r="B10" s="758" t="s">
        <v>73</v>
      </c>
      <c r="C10" s="758">
        <v>62164.035208428992</v>
      </c>
      <c r="D10" s="759" t="s">
        <v>74</v>
      </c>
      <c r="E10" s="837">
        <v>1</v>
      </c>
    </row>
    <row r="11" spans="1:5" ht="15.5" x14ac:dyDescent="0.35">
      <c r="A11" s="837"/>
      <c r="B11" s="758"/>
      <c r="C11" s="758"/>
      <c r="D11" s="759"/>
      <c r="E11" s="837"/>
    </row>
    <row r="12" spans="1:5" ht="15.5" x14ac:dyDescent="0.35">
      <c r="A12" s="837">
        <f>A10+1</f>
        <v>2</v>
      </c>
      <c r="B12" s="758" t="s">
        <v>75</v>
      </c>
      <c r="C12" s="760">
        <v>77024.677187948371</v>
      </c>
      <c r="D12" s="759" t="s">
        <v>74</v>
      </c>
      <c r="E12" s="837">
        <f>E10+1</f>
        <v>2</v>
      </c>
    </row>
    <row r="13" spans="1:5" ht="15.5" x14ac:dyDescent="0.35">
      <c r="A13" s="837"/>
      <c r="B13" s="758"/>
      <c r="C13" s="758"/>
      <c r="D13" s="759"/>
      <c r="E13" s="837"/>
    </row>
    <row r="14" spans="1:5" ht="15.5" x14ac:dyDescent="0.35">
      <c r="A14" s="837">
        <f>A12+1</f>
        <v>3</v>
      </c>
      <c r="B14" s="758" t="s">
        <v>76</v>
      </c>
      <c r="C14" s="758">
        <f>C10-C12</f>
        <v>-14860.64197951938</v>
      </c>
      <c r="D14" s="759" t="s">
        <v>77</v>
      </c>
      <c r="E14" s="837">
        <f>E12+1</f>
        <v>3</v>
      </c>
    </row>
    <row r="15" spans="1:5" ht="15.5" x14ac:dyDescent="0.35">
      <c r="A15" s="837"/>
      <c r="B15" s="758"/>
      <c r="C15" s="758"/>
      <c r="D15" s="759"/>
      <c r="E15" s="837"/>
    </row>
    <row r="16" spans="1:5" ht="15.5" x14ac:dyDescent="0.35">
      <c r="A16" s="837">
        <f>A14+1</f>
        <v>4</v>
      </c>
      <c r="B16" s="839" t="s">
        <v>67</v>
      </c>
      <c r="C16" s="840">
        <v>1.0108778231162168</v>
      </c>
      <c r="D16" s="759" t="s">
        <v>74</v>
      </c>
      <c r="E16" s="837">
        <f>E14+1</f>
        <v>4</v>
      </c>
    </row>
    <row r="17" spans="1:5" ht="15.5" x14ac:dyDescent="0.35">
      <c r="A17" s="837"/>
      <c r="B17" s="839"/>
      <c r="C17" s="842"/>
      <c r="D17" s="841"/>
      <c r="E17" s="837"/>
    </row>
    <row r="18" spans="1:5" ht="18.5" x14ac:dyDescent="0.35">
      <c r="A18" s="844">
        <f>A16+1</f>
        <v>5</v>
      </c>
      <c r="B18" s="848" t="s">
        <v>78</v>
      </c>
      <c r="C18" s="845">
        <f>C14*C16</f>
        <v>-15022.293414366017</v>
      </c>
      <c r="D18" s="847" t="s">
        <v>79</v>
      </c>
      <c r="E18" s="844">
        <f>E16+1</f>
        <v>5</v>
      </c>
    </row>
    <row r="19" spans="1:5" ht="15.5" x14ac:dyDescent="0.35">
      <c r="A19" s="837"/>
    </row>
    <row r="20" spans="1:5" ht="18.5" x14ac:dyDescent="0.35">
      <c r="A20" s="414">
        <v>1</v>
      </c>
      <c r="B20" s="22" t="s">
        <v>80</v>
      </c>
    </row>
    <row r="21" spans="1:5" ht="15.5" x14ac:dyDescent="0.35">
      <c r="B21" s="846"/>
    </row>
  </sheetData>
  <mergeCells count="5">
    <mergeCell ref="B2:D2"/>
    <mergeCell ref="B3:D3"/>
    <mergeCell ref="B4:D4"/>
    <mergeCell ref="B5:D5"/>
    <mergeCell ref="B6:D6"/>
  </mergeCells>
  <printOptions horizontalCentered="1"/>
  <pageMargins left="0" right="0" top="0.5" bottom="0.75" header="0.25" footer="0.25"/>
  <pageSetup orientation="landscape" r:id="rId1"/>
  <headerFooter alignWithMargins="0">
    <oddFooter>&amp;L            &amp;F&amp;CPage 5 of 5&amp;R&amp;A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I52"/>
  <sheetViews>
    <sheetView zoomScale="80" zoomScaleNormal="80" workbookViewId="0"/>
  </sheetViews>
  <sheetFormatPr defaultColWidth="9.1796875" defaultRowHeight="12.5" x14ac:dyDescent="0.25"/>
  <cols>
    <col min="1" max="1" width="5.54296875" style="243" customWidth="1"/>
    <col min="2" max="2" width="40.54296875" style="243" customWidth="1"/>
    <col min="3" max="6" width="20.54296875" style="243" customWidth="1"/>
    <col min="7" max="7" width="25.54296875" style="243" hidden="1" customWidth="1"/>
    <col min="8" max="8" width="35.54296875" style="243" customWidth="1"/>
    <col min="9" max="9" width="5.54296875" style="243" customWidth="1"/>
    <col min="10" max="16384" width="9.1796875" style="243"/>
  </cols>
  <sheetData>
    <row r="2" spans="1:9" ht="15" x14ac:dyDescent="0.25">
      <c r="A2" s="5" t="s">
        <v>81</v>
      </c>
      <c r="B2" s="418"/>
      <c r="C2" s="832"/>
      <c r="D2" s="832"/>
      <c r="E2" s="832"/>
      <c r="F2" s="832"/>
      <c r="G2" s="832"/>
      <c r="H2" s="832"/>
      <c r="I2" s="832"/>
    </row>
    <row r="3" spans="1:9" ht="15.5" x14ac:dyDescent="0.25">
      <c r="A3" s="5" t="s">
        <v>25</v>
      </c>
      <c r="B3" s="5"/>
      <c r="C3" s="41"/>
      <c r="D3" s="41"/>
      <c r="E3" s="41"/>
      <c r="F3" s="41"/>
      <c r="G3" s="41"/>
      <c r="H3" s="41"/>
      <c r="I3" s="41"/>
    </row>
    <row r="4" spans="1:9" ht="15" x14ac:dyDescent="0.25">
      <c r="A4" s="970" t="s">
        <v>82</v>
      </c>
      <c r="B4" s="970"/>
      <c r="C4" s="970"/>
      <c r="D4" s="970"/>
      <c r="E4" s="970"/>
      <c r="F4" s="970"/>
      <c r="G4" s="970"/>
      <c r="H4" s="970"/>
      <c r="I4" s="970"/>
    </row>
    <row r="5" spans="1:9" ht="15" x14ac:dyDescent="0.25">
      <c r="A5" s="970" t="s">
        <v>83</v>
      </c>
      <c r="B5" s="970"/>
      <c r="C5" s="970"/>
      <c r="D5" s="970"/>
      <c r="E5" s="970"/>
      <c r="F5" s="970"/>
      <c r="G5" s="970"/>
      <c r="H5" s="970"/>
      <c r="I5" s="970"/>
    </row>
    <row r="6" spans="1:9" ht="15.5" x14ac:dyDescent="0.25">
      <c r="A6" s="5" t="s">
        <v>494</v>
      </c>
      <c r="B6" s="5"/>
      <c r="C6" s="383"/>
      <c r="D6" s="383"/>
      <c r="E6" s="383"/>
      <c r="F6" s="384"/>
      <c r="G6" s="383"/>
      <c r="H6" s="383"/>
      <c r="I6" s="41"/>
    </row>
    <row r="7" spans="1:9" ht="16" thickBot="1" x14ac:dyDescent="0.4">
      <c r="A7" s="37"/>
      <c r="B7" s="89"/>
      <c r="C7" s="89"/>
      <c r="D7" s="89"/>
      <c r="E7" s="89"/>
      <c r="F7" s="89"/>
      <c r="G7" s="22"/>
      <c r="H7" s="22"/>
      <c r="I7" s="22"/>
    </row>
    <row r="8" spans="1:9" ht="15" x14ac:dyDescent="0.3">
      <c r="A8" s="557"/>
      <c r="B8" s="456"/>
      <c r="C8" s="558" t="s">
        <v>3</v>
      </c>
      <c r="D8" s="558" t="s">
        <v>4</v>
      </c>
      <c r="E8" s="558" t="s">
        <v>5</v>
      </c>
      <c r="F8" s="558" t="s">
        <v>84</v>
      </c>
      <c r="G8" s="456"/>
      <c r="H8" s="456"/>
      <c r="I8" s="559"/>
    </row>
    <row r="9" spans="1:9" ht="15" x14ac:dyDescent="0.3">
      <c r="A9" s="551"/>
      <c r="B9" s="75"/>
      <c r="C9" s="158" t="s">
        <v>85</v>
      </c>
      <c r="D9" s="158" t="s">
        <v>86</v>
      </c>
      <c r="E9" s="75"/>
      <c r="F9" s="75"/>
      <c r="G9" s="75"/>
      <c r="H9" s="75"/>
      <c r="I9" s="552"/>
    </row>
    <row r="10" spans="1:9" ht="15" x14ac:dyDescent="0.3">
      <c r="A10" s="551"/>
      <c r="B10" s="94"/>
      <c r="C10" s="75">
        <v>2023</v>
      </c>
      <c r="D10" s="75">
        <f>C10</f>
        <v>2023</v>
      </c>
      <c r="E10" s="75"/>
      <c r="F10" s="75"/>
      <c r="G10" s="75"/>
      <c r="H10" s="75"/>
      <c r="I10" s="552"/>
    </row>
    <row r="11" spans="1:9" ht="15" x14ac:dyDescent="0.3">
      <c r="A11" s="551" t="s">
        <v>8</v>
      </c>
      <c r="B11" s="94"/>
      <c r="C11" s="75" t="s">
        <v>87</v>
      </c>
      <c r="D11" s="75" t="s">
        <v>87</v>
      </c>
      <c r="E11" s="75"/>
      <c r="F11" s="158" t="s">
        <v>88</v>
      </c>
      <c r="G11" s="75"/>
      <c r="H11" s="75"/>
      <c r="I11" s="552" t="s">
        <v>8</v>
      </c>
    </row>
    <row r="12" spans="1:9" ht="18.5" thickBot="1" x14ac:dyDescent="0.35">
      <c r="A12" s="569" t="s">
        <v>11</v>
      </c>
      <c r="B12" s="153" t="s">
        <v>89</v>
      </c>
      <c r="C12" s="571" t="s">
        <v>90</v>
      </c>
      <c r="D12" s="571" t="s">
        <v>91</v>
      </c>
      <c r="E12" s="153" t="s">
        <v>92</v>
      </c>
      <c r="F12" s="153" t="s">
        <v>93</v>
      </c>
      <c r="G12" s="153" t="s">
        <v>16</v>
      </c>
      <c r="H12" s="153" t="s">
        <v>16</v>
      </c>
      <c r="I12" s="570" t="s">
        <v>11</v>
      </c>
    </row>
    <row r="13" spans="1:9" ht="15.5" x14ac:dyDescent="0.35">
      <c r="A13" s="263"/>
      <c r="B13" s="10"/>
      <c r="C13" s="75"/>
      <c r="D13" s="75"/>
      <c r="E13" s="10"/>
      <c r="F13" s="188"/>
      <c r="G13" s="10"/>
      <c r="H13" s="10"/>
      <c r="I13" s="264"/>
    </row>
    <row r="14" spans="1:9" ht="15.5" x14ac:dyDescent="0.35">
      <c r="A14" s="263">
        <v>1</v>
      </c>
      <c r="B14" s="17" t="s">
        <v>94</v>
      </c>
      <c r="C14" s="19">
        <f>'Stmt BG - Page 2'!I28</f>
        <v>-14343296.965381999</v>
      </c>
      <c r="D14" s="19">
        <f>'Stmt BH - Page 1'!I28</f>
        <v>-7705076.8822299996</v>
      </c>
      <c r="E14" s="19">
        <f>C14-D14</f>
        <v>-6638220.0831519989</v>
      </c>
      <c r="F14" s="25">
        <f>(C14-D14)/D14</f>
        <v>0.86153846153846148</v>
      </c>
      <c r="G14" s="19"/>
      <c r="H14" s="26" t="s">
        <v>95</v>
      </c>
      <c r="I14" s="264">
        <v>1</v>
      </c>
    </row>
    <row r="15" spans="1:9" ht="15.5" x14ac:dyDescent="0.35">
      <c r="A15" s="263">
        <f>A14+1</f>
        <v>2</v>
      </c>
      <c r="B15" s="11"/>
      <c r="C15" s="19"/>
      <c r="D15" s="19"/>
      <c r="E15" s="19"/>
      <c r="F15" s="19"/>
      <c r="G15" s="385"/>
      <c r="H15" s="26" t="s">
        <v>96</v>
      </c>
      <c r="I15" s="264">
        <f>I14+1</f>
        <v>2</v>
      </c>
    </row>
    <row r="16" spans="1:9" ht="15.5" x14ac:dyDescent="0.35">
      <c r="A16" s="263">
        <f t="shared" ref="A16:A27" si="0">A15+1</f>
        <v>3</v>
      </c>
      <c r="B16" s="17" t="s">
        <v>97</v>
      </c>
      <c r="C16" s="31">
        <f>'Stmt BG - Page 2'!I30</f>
        <v>-4772288.8235000009</v>
      </c>
      <c r="D16" s="31">
        <f>'Stmt BH - Page 1'!I30</f>
        <v>-2563626.2275</v>
      </c>
      <c r="E16" s="31">
        <f>C16-D16</f>
        <v>-2208662.5960000008</v>
      </c>
      <c r="F16" s="25">
        <f>(C16-D16)/D16</f>
        <v>0.86153846153846181</v>
      </c>
      <c r="G16" s="19"/>
      <c r="H16" s="26" t="s">
        <v>98</v>
      </c>
      <c r="I16" s="264">
        <f t="shared" ref="I16:I27" si="1">I15+1</f>
        <v>3</v>
      </c>
    </row>
    <row r="17" spans="1:9" ht="15.5" x14ac:dyDescent="0.35">
      <c r="A17" s="263">
        <f t="shared" si="0"/>
        <v>4</v>
      </c>
      <c r="B17" s="386"/>
      <c r="C17" s="31"/>
      <c r="D17" s="31"/>
      <c r="E17" s="31"/>
      <c r="F17" s="25"/>
      <c r="G17" s="19"/>
      <c r="H17" s="26" t="s">
        <v>99</v>
      </c>
      <c r="I17" s="264">
        <f t="shared" si="1"/>
        <v>4</v>
      </c>
    </row>
    <row r="18" spans="1:9" ht="15.5" x14ac:dyDescent="0.35">
      <c r="A18" s="263">
        <f t="shared" si="0"/>
        <v>5</v>
      </c>
      <c r="B18" s="17" t="s">
        <v>100</v>
      </c>
      <c r="C18" s="31">
        <f>'Stmt BG - Page 2'!I32</f>
        <v>-21215378.283220001</v>
      </c>
      <c r="D18" s="31">
        <f>'Stmt BH - Page 1'!I32</f>
        <v>-11396690.813299999</v>
      </c>
      <c r="E18" s="31">
        <f>C18-D18</f>
        <v>-9818687.4699200019</v>
      </c>
      <c r="F18" s="25">
        <f>(C18-D18)/D18</f>
        <v>0.86153846153846181</v>
      </c>
      <c r="G18" s="19"/>
      <c r="H18" s="26" t="s">
        <v>101</v>
      </c>
      <c r="I18" s="264">
        <f t="shared" si="1"/>
        <v>5</v>
      </c>
    </row>
    <row r="19" spans="1:9" ht="15.5" x14ac:dyDescent="0.35">
      <c r="A19" s="263">
        <f t="shared" si="0"/>
        <v>6</v>
      </c>
      <c r="B19" s="17"/>
      <c r="C19" s="31"/>
      <c r="D19" s="31"/>
      <c r="E19" s="31"/>
      <c r="F19" s="25"/>
      <c r="G19" s="19"/>
      <c r="H19" s="26" t="s">
        <v>102</v>
      </c>
      <c r="I19" s="264">
        <f t="shared" si="1"/>
        <v>6</v>
      </c>
    </row>
    <row r="20" spans="1:9" ht="15.5" x14ac:dyDescent="0.35">
      <c r="A20" s="263">
        <f t="shared" si="0"/>
        <v>7</v>
      </c>
      <c r="B20" s="17" t="s">
        <v>103</v>
      </c>
      <c r="C20" s="31">
        <f>'Stmt BG - Page 2'!I34</f>
        <v>-327367.88055399997</v>
      </c>
      <c r="D20" s="31">
        <f>'Stmt BH - Page 1'!I34</f>
        <v>-175858.77880999999</v>
      </c>
      <c r="E20" s="31">
        <f>C20-D20</f>
        <v>-151509.10174399999</v>
      </c>
      <c r="F20" s="25">
        <f>(C20-D20)/D20</f>
        <v>0.86153846153846148</v>
      </c>
      <c r="G20" s="19"/>
      <c r="H20" s="26" t="s">
        <v>104</v>
      </c>
      <c r="I20" s="264">
        <f t="shared" si="1"/>
        <v>7</v>
      </c>
    </row>
    <row r="21" spans="1:9" ht="15.5" x14ac:dyDescent="0.35">
      <c r="A21" s="263">
        <f t="shared" si="0"/>
        <v>8</v>
      </c>
      <c r="B21" s="17"/>
      <c r="C21" s="31"/>
      <c r="D21" s="31"/>
      <c r="E21" s="31"/>
      <c r="F21" s="25"/>
      <c r="G21" s="19"/>
      <c r="H21" s="26" t="s">
        <v>105</v>
      </c>
      <c r="I21" s="264">
        <f t="shared" si="1"/>
        <v>8</v>
      </c>
    </row>
    <row r="22" spans="1:9" ht="15.5" x14ac:dyDescent="0.35">
      <c r="A22" s="263">
        <f t="shared" si="0"/>
        <v>9</v>
      </c>
      <c r="B22" s="17" t="s">
        <v>106</v>
      </c>
      <c r="C22" s="31">
        <f>'Stmt BG - Page 2'!I36</f>
        <v>-453593.78125599999</v>
      </c>
      <c r="D22" s="31">
        <f>'Stmt BH - Page 1'!I36</f>
        <v>-243666.08084000004</v>
      </c>
      <c r="E22" s="31">
        <f>C22-D22</f>
        <v>-209927.70041599995</v>
      </c>
      <c r="F22" s="25">
        <f>(C22-D22)/D22</f>
        <v>0.86153846153846114</v>
      </c>
      <c r="G22" s="19"/>
      <c r="H22" s="26" t="s">
        <v>107</v>
      </c>
      <c r="I22" s="264">
        <f t="shared" si="1"/>
        <v>9</v>
      </c>
    </row>
    <row r="23" spans="1:9" ht="15.5" x14ac:dyDescent="0.35">
      <c r="A23" s="263">
        <f t="shared" si="0"/>
        <v>10</v>
      </c>
      <c r="B23" s="17"/>
      <c r="C23" s="31"/>
      <c r="D23" s="31"/>
      <c r="E23" s="31"/>
      <c r="F23" s="25"/>
      <c r="G23" s="19"/>
      <c r="H23" s="26" t="s">
        <v>108</v>
      </c>
      <c r="I23" s="264">
        <f t="shared" si="1"/>
        <v>10</v>
      </c>
    </row>
    <row r="24" spans="1:9" ht="15.5" x14ac:dyDescent="0.35">
      <c r="A24" s="263">
        <f t="shared" si="0"/>
        <v>11</v>
      </c>
      <c r="B24" s="66" t="s">
        <v>109</v>
      </c>
      <c r="C24" s="31">
        <f>'Stmt BG - Page 2'!I38</f>
        <v>-189556.46967399996</v>
      </c>
      <c r="D24" s="54">
        <f>'Stmt BH - Page 1'!I38</f>
        <v>-101827.85560999998</v>
      </c>
      <c r="E24" s="31">
        <f>C24-D24</f>
        <v>-87728.614063999979</v>
      </c>
      <c r="F24" s="522">
        <f>(C24-D24)/D24</f>
        <v>0.86153846153846148</v>
      </c>
      <c r="G24" s="19"/>
      <c r="H24" s="26" t="s">
        <v>110</v>
      </c>
      <c r="I24" s="264">
        <f t="shared" si="1"/>
        <v>11</v>
      </c>
    </row>
    <row r="25" spans="1:9" ht="15.5" x14ac:dyDescent="0.35">
      <c r="A25" s="263">
        <f t="shared" si="0"/>
        <v>12</v>
      </c>
      <c r="B25" s="17"/>
      <c r="C25" s="31"/>
      <c r="D25" s="31"/>
      <c r="E25" s="31"/>
      <c r="F25" s="25"/>
      <c r="G25" s="19"/>
      <c r="H25" s="26" t="s">
        <v>111</v>
      </c>
      <c r="I25" s="264">
        <f t="shared" si="1"/>
        <v>12</v>
      </c>
    </row>
    <row r="26" spans="1:9" ht="15.5" x14ac:dyDescent="0.35">
      <c r="A26" s="263">
        <f t="shared" si="0"/>
        <v>13</v>
      </c>
      <c r="B26" s="17"/>
      <c r="C26" s="53"/>
      <c r="D26" s="53"/>
      <c r="E26" s="21"/>
      <c r="F26" s="21"/>
      <c r="G26" s="19"/>
      <c r="I26" s="264">
        <f t="shared" si="1"/>
        <v>13</v>
      </c>
    </row>
    <row r="27" spans="1:9" ht="16" thickBot="1" x14ac:dyDescent="0.4">
      <c r="A27" s="263">
        <f t="shared" si="0"/>
        <v>14</v>
      </c>
      <c r="B27" s="11" t="s">
        <v>112</v>
      </c>
      <c r="C27" s="387">
        <f>SUM(C14:C24)</f>
        <v>-41301482.20358599</v>
      </c>
      <c r="D27" s="387">
        <f>SUM(D14:D24)</f>
        <v>-22186746.638289995</v>
      </c>
      <c r="E27" s="387">
        <f>SUM(E14:E24)</f>
        <v>-19114735.565296002</v>
      </c>
      <c r="F27" s="388">
        <f>(C27-D27)/D27</f>
        <v>0.86153846153846148</v>
      </c>
      <c r="G27" s="389"/>
      <c r="H27" s="390" t="s">
        <v>113</v>
      </c>
      <c r="I27" s="264">
        <f t="shared" si="1"/>
        <v>14</v>
      </c>
    </row>
    <row r="28" spans="1:9" ht="16.5" thickTop="1" thickBot="1" x14ac:dyDescent="0.4">
      <c r="A28" s="301"/>
      <c r="B28" s="81"/>
      <c r="C28" s="81"/>
      <c r="D28" s="81"/>
      <c r="E28" s="81"/>
      <c r="F28" s="81"/>
      <c r="G28" s="81"/>
      <c r="H28" s="81"/>
      <c r="I28" s="407"/>
    </row>
    <row r="29" spans="1:9" ht="15.5" x14ac:dyDescent="0.35">
      <c r="A29" s="37"/>
      <c r="B29" s="391"/>
    </row>
    <row r="30" spans="1:9" ht="18.5" x14ac:dyDescent="0.35">
      <c r="A30" s="83">
        <v>1</v>
      </c>
      <c r="B30" s="22" t="s">
        <v>495</v>
      </c>
    </row>
    <row r="31" spans="1:9" ht="18.5" x14ac:dyDescent="0.35">
      <c r="A31" s="69"/>
      <c r="B31" s="22"/>
    </row>
    <row r="32" spans="1:9" ht="15.5" x14ac:dyDescent="0.35">
      <c r="A32" s="37"/>
      <c r="B32" s="22"/>
    </row>
    <row r="33" spans="1:8" ht="18.5" x14ac:dyDescent="0.35">
      <c r="A33" s="69"/>
      <c r="B33" s="22"/>
    </row>
    <row r="34" spans="1:8" ht="15.5" x14ac:dyDescent="0.35">
      <c r="A34" s="831"/>
      <c r="B34" s="22"/>
    </row>
    <row r="35" spans="1:8" ht="15.5" x14ac:dyDescent="0.35">
      <c r="A35" s="831"/>
      <c r="B35" s="22"/>
      <c r="C35" s="22"/>
      <c r="D35" s="22"/>
      <c r="E35" s="140"/>
      <c r="F35" s="22"/>
      <c r="G35" s="22"/>
      <c r="H35" s="22"/>
    </row>
    <row r="36" spans="1:8" ht="15.5" x14ac:dyDescent="0.35">
      <c r="A36" s="831"/>
      <c r="B36" s="22"/>
      <c r="C36" s="22"/>
      <c r="D36" s="22"/>
      <c r="E36" s="392"/>
      <c r="F36" s="22"/>
      <c r="G36" s="22"/>
      <c r="H36" s="22"/>
    </row>
    <row r="37" spans="1:8" ht="15.5" x14ac:dyDescent="0.35">
      <c r="A37" s="831"/>
      <c r="B37" s="22"/>
      <c r="C37" s="22"/>
      <c r="D37" s="22"/>
      <c r="E37" s="22"/>
      <c r="F37" s="22"/>
      <c r="G37" s="22"/>
      <c r="H37" s="22"/>
    </row>
    <row r="38" spans="1:8" x14ac:dyDescent="0.25">
      <c r="A38" s="831"/>
    </row>
    <row r="39" spans="1:8" x14ac:dyDescent="0.25">
      <c r="A39" s="831"/>
    </row>
    <row r="40" spans="1:8" x14ac:dyDescent="0.25">
      <c r="A40" s="831"/>
    </row>
    <row r="41" spans="1:8" x14ac:dyDescent="0.25">
      <c r="A41" s="831"/>
    </row>
    <row r="42" spans="1:8" x14ac:dyDescent="0.25">
      <c r="A42" s="831"/>
    </row>
    <row r="43" spans="1:8" x14ac:dyDescent="0.25">
      <c r="A43" s="831"/>
    </row>
    <row r="44" spans="1:8" x14ac:dyDescent="0.25">
      <c r="A44" s="831"/>
    </row>
    <row r="45" spans="1:8" x14ac:dyDescent="0.25">
      <c r="A45" s="831"/>
    </row>
    <row r="46" spans="1:8" x14ac:dyDescent="0.25">
      <c r="A46" s="831"/>
    </row>
    <row r="47" spans="1:8" x14ac:dyDescent="0.25">
      <c r="A47" s="831"/>
    </row>
    <row r="48" spans="1:8" x14ac:dyDescent="0.25">
      <c r="A48" s="831"/>
    </row>
    <row r="49" spans="1:1" x14ac:dyDescent="0.25">
      <c r="A49" s="831"/>
    </row>
    <row r="50" spans="1:1" x14ac:dyDescent="0.25">
      <c r="A50" s="831"/>
    </row>
    <row r="51" spans="1:1" x14ac:dyDescent="0.25">
      <c r="A51" s="831"/>
    </row>
    <row r="52" spans="1:1" x14ac:dyDescent="0.25">
      <c r="A52" s="831"/>
    </row>
  </sheetData>
  <mergeCells count="2">
    <mergeCell ref="A5:I5"/>
    <mergeCell ref="A4:I4"/>
  </mergeCells>
  <printOptions horizontalCentered="1"/>
  <pageMargins left="0.25" right="0.25" top="0.5" bottom="0.5" header="0.25" footer="0.25"/>
  <pageSetup scale="80" orientation="landscape" r:id="rId1"/>
  <headerFooter alignWithMargins="0">
    <oddFooter>&amp;L&amp;"Times New Roman,Regular"&amp;14 &amp;F&amp;C&amp;"Times New Roman,Regular"&amp;14Page 1 of 4&amp;R&amp;"Times New Roman,Regular"&amp;14&amp;A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R143"/>
  <sheetViews>
    <sheetView zoomScale="80" zoomScaleNormal="80" workbookViewId="0"/>
  </sheetViews>
  <sheetFormatPr defaultColWidth="9.1796875" defaultRowHeight="15.5" x14ac:dyDescent="0.35"/>
  <cols>
    <col min="1" max="1" width="6" style="22" bestFit="1" customWidth="1"/>
    <col min="2" max="2" width="42" style="22" bestFit="1" customWidth="1"/>
    <col min="3" max="8" width="18" style="22" bestFit="1" customWidth="1"/>
    <col min="9" max="9" width="19.453125" style="22" bestFit="1" customWidth="1"/>
    <col min="10" max="10" width="6" style="22" bestFit="1" customWidth="1"/>
    <col min="11" max="14" width="17.1796875" style="22" bestFit="1" customWidth="1"/>
    <col min="15" max="15" width="18.453125" style="22" bestFit="1" customWidth="1"/>
    <col min="16" max="16" width="8.54296875" style="22" bestFit="1" customWidth="1"/>
    <col min="17" max="16384" width="9.1796875" style="22"/>
  </cols>
  <sheetData>
    <row r="2" spans="1:16" ht="18" customHeight="1" x14ac:dyDescent="0.35">
      <c r="A2" s="970" t="s">
        <v>81</v>
      </c>
      <c r="B2" s="970"/>
      <c r="C2" s="970"/>
      <c r="D2" s="970"/>
      <c r="E2" s="970"/>
      <c r="F2" s="970"/>
      <c r="G2" s="970"/>
      <c r="H2" s="970"/>
      <c r="I2" s="970"/>
      <c r="J2" s="970"/>
      <c r="K2" s="516"/>
      <c r="L2" s="516"/>
      <c r="M2" s="516"/>
      <c r="N2" s="516"/>
      <c r="O2" s="516"/>
      <c r="P2" s="516"/>
    </row>
    <row r="3" spans="1:16" ht="18" customHeight="1" x14ac:dyDescent="0.35">
      <c r="A3" s="970" t="s">
        <v>25</v>
      </c>
      <c r="B3" s="970"/>
      <c r="C3" s="970"/>
      <c r="D3" s="970"/>
      <c r="E3" s="970"/>
      <c r="F3" s="970"/>
      <c r="G3" s="970"/>
      <c r="H3" s="970"/>
      <c r="I3" s="970"/>
      <c r="J3" s="970"/>
      <c r="K3" s="517"/>
      <c r="L3" s="517"/>
      <c r="M3" s="517"/>
      <c r="N3" s="517"/>
      <c r="O3" s="517"/>
      <c r="P3" s="517"/>
    </row>
    <row r="4" spans="1:16" ht="18" customHeight="1" x14ac:dyDescent="0.35">
      <c r="A4" s="970" t="str">
        <f>'Stmt BG - Page 1'!A4</f>
        <v>Transmission Revenue Balancing Account Adjustment (TRBAA) Revenues Data to Reflect Changed Rates</v>
      </c>
      <c r="B4" s="970"/>
      <c r="C4" s="970"/>
      <c r="D4" s="970"/>
      <c r="E4" s="970"/>
      <c r="F4" s="970"/>
      <c r="G4" s="970"/>
      <c r="H4" s="970"/>
      <c r="I4" s="970"/>
      <c r="J4" s="970"/>
      <c r="K4" s="517"/>
      <c r="L4" s="517"/>
      <c r="M4" s="517"/>
      <c r="N4" s="517"/>
      <c r="O4" s="517"/>
      <c r="P4" s="517"/>
    </row>
    <row r="5" spans="1:16" ht="18" customHeight="1" x14ac:dyDescent="0.35">
      <c r="A5" s="971" t="str">
        <f>'Stmt BG - Page 1'!A6</f>
        <v>Rate Effective Period - Twelve Months Ending December 31, 2023</v>
      </c>
      <c r="B5" s="971"/>
      <c r="C5" s="971"/>
      <c r="D5" s="971"/>
      <c r="E5" s="971"/>
      <c r="F5" s="971"/>
      <c r="G5" s="971"/>
      <c r="H5" s="971"/>
      <c r="I5" s="971"/>
      <c r="J5" s="971"/>
      <c r="K5" s="517"/>
      <c r="L5" s="517"/>
      <c r="M5" s="517"/>
      <c r="N5" s="517"/>
      <c r="O5" s="517"/>
      <c r="P5" s="517"/>
    </row>
    <row r="6" spans="1:16" ht="16" thickBot="1" x14ac:dyDescent="0.4">
      <c r="A6" s="518"/>
      <c r="B6" s="518"/>
      <c r="C6" s="518"/>
      <c r="D6" s="518"/>
      <c r="E6" s="518"/>
      <c r="F6" s="518"/>
      <c r="G6" s="518"/>
      <c r="H6" s="518"/>
      <c r="I6" s="518"/>
      <c r="J6" s="518"/>
      <c r="K6" s="41"/>
      <c r="L6" s="41"/>
      <c r="M6" s="41"/>
      <c r="N6" s="41"/>
      <c r="O6" s="41"/>
      <c r="P6" s="41"/>
    </row>
    <row r="7" spans="1:16" x14ac:dyDescent="0.35">
      <c r="A7" s="728" t="s">
        <v>8</v>
      </c>
      <c r="B7" s="546"/>
      <c r="C7" s="592" t="s">
        <v>3</v>
      </c>
      <c r="D7" s="456" t="s">
        <v>4</v>
      </c>
      <c r="E7" s="688" t="s">
        <v>114</v>
      </c>
      <c r="F7" s="456" t="s">
        <v>115</v>
      </c>
      <c r="G7" s="456" t="s">
        <v>116</v>
      </c>
      <c r="H7" s="688" t="s">
        <v>117</v>
      </c>
      <c r="I7" s="558" t="s">
        <v>118</v>
      </c>
      <c r="J7" s="731" t="s">
        <v>8</v>
      </c>
    </row>
    <row r="8" spans="1:16" ht="16" thickBot="1" x14ac:dyDescent="0.4">
      <c r="A8" s="729" t="s">
        <v>11</v>
      </c>
      <c r="B8" s="153" t="s">
        <v>89</v>
      </c>
      <c r="C8" s="833">
        <v>44927</v>
      </c>
      <c r="D8" s="833">
        <v>44958</v>
      </c>
      <c r="E8" s="833">
        <v>44986</v>
      </c>
      <c r="F8" s="833">
        <v>45017</v>
      </c>
      <c r="G8" s="833">
        <v>45047</v>
      </c>
      <c r="H8" s="833">
        <v>45078</v>
      </c>
      <c r="I8" s="689"/>
      <c r="J8" s="730" t="s">
        <v>11</v>
      </c>
    </row>
    <row r="9" spans="1:16" x14ac:dyDescent="0.35">
      <c r="A9" s="263"/>
      <c r="B9" s="10"/>
      <c r="C9" s="10"/>
      <c r="D9" s="10"/>
      <c r="E9" s="10"/>
      <c r="F9" s="10"/>
      <c r="G9" s="10"/>
      <c r="H9" s="10"/>
      <c r="I9" s="17"/>
      <c r="J9" s="264"/>
    </row>
    <row r="10" spans="1:16" ht="18.5" x14ac:dyDescent="0.35">
      <c r="A10" s="263">
        <v>1</v>
      </c>
      <c r="B10" s="17" t="s">
        <v>119</v>
      </c>
      <c r="C10" s="19">
        <f>'Stmt BG - Page 3'!C33</f>
        <v>-1380445.82357</v>
      </c>
      <c r="D10" s="19">
        <f>'Stmt BG - Page 3'!D33</f>
        <v>-1162781.117542</v>
      </c>
      <c r="E10" s="19">
        <f>'Stmt BG - Page 3'!E33</f>
        <v>-1100658.9455619999</v>
      </c>
      <c r="F10" s="19">
        <f>'Stmt BG - Page 3'!F33</f>
        <v>-996934.36820999999</v>
      </c>
      <c r="G10" s="19">
        <f>'Stmt BG - Page 3'!G33</f>
        <v>-1003216.3956319999</v>
      </c>
      <c r="H10" s="19">
        <f>'Stmt BG - Page 3'!H33</f>
        <v>-1051522.0829079999</v>
      </c>
      <c r="I10" s="17"/>
      <c r="J10" s="264">
        <v>1</v>
      </c>
    </row>
    <row r="11" spans="1:16" x14ac:dyDescent="0.35">
      <c r="A11" s="263">
        <f>A10+1</f>
        <v>2</v>
      </c>
      <c r="B11" s="11"/>
      <c r="C11" s="393"/>
      <c r="D11" s="393"/>
      <c r="E11" s="393"/>
      <c r="F11" s="393"/>
      <c r="G11" s="393"/>
      <c r="H11" s="393"/>
      <c r="I11" s="17"/>
      <c r="J11" s="264">
        <f>J10+1</f>
        <v>2</v>
      </c>
    </row>
    <row r="12" spans="1:16" ht="18.5" x14ac:dyDescent="0.35">
      <c r="A12" s="263">
        <f t="shared" ref="A12:A22" si="0">A11+1</f>
        <v>3</v>
      </c>
      <c r="B12" s="17" t="s">
        <v>120</v>
      </c>
      <c r="C12" s="31">
        <f>'Stmt BG - Page 3'!C35</f>
        <v>-381831.38657399995</v>
      </c>
      <c r="D12" s="31">
        <f>'Stmt BG - Page 3'!D35</f>
        <v>-358924.87633200001</v>
      </c>
      <c r="E12" s="31">
        <f>'Stmt BG - Page 3'!E35</f>
        <v>-370148.62240400002</v>
      </c>
      <c r="F12" s="31">
        <f>'Stmt BG - Page 3'!F35</f>
        <v>-362266.06602999999</v>
      </c>
      <c r="G12" s="31">
        <f>'Stmt BG - Page 3'!G35</f>
        <v>-369749.02909999999</v>
      </c>
      <c r="H12" s="31">
        <f>'Stmt BG - Page 3'!H35</f>
        <v>-399365.27441800002</v>
      </c>
      <c r="I12" s="17"/>
      <c r="J12" s="264">
        <f t="shared" ref="J12:J22" si="1">J11+1</f>
        <v>3</v>
      </c>
    </row>
    <row r="13" spans="1:16" x14ac:dyDescent="0.35">
      <c r="A13" s="263">
        <f t="shared" si="0"/>
        <v>4</v>
      </c>
      <c r="B13" s="386"/>
      <c r="C13" s="394"/>
      <c r="D13" s="394"/>
      <c r="E13" s="394"/>
      <c r="F13" s="394"/>
      <c r="G13" s="394"/>
      <c r="H13" s="394"/>
      <c r="I13" s="17"/>
      <c r="J13" s="264">
        <f t="shared" si="1"/>
        <v>4</v>
      </c>
    </row>
    <row r="14" spans="1:16" ht="18.5" x14ac:dyDescent="0.35">
      <c r="A14" s="263">
        <f t="shared" si="0"/>
        <v>5</v>
      </c>
      <c r="B14" s="17" t="s">
        <v>121</v>
      </c>
      <c r="C14" s="31">
        <f>'Stmt BG - Page 3'!C37</f>
        <v>-1659848.2337579997</v>
      </c>
      <c r="D14" s="31">
        <f>'Stmt BG - Page 3'!D37</f>
        <v>-1605344.2396859997</v>
      </c>
      <c r="E14" s="31">
        <f>'Stmt BG - Page 3'!E37</f>
        <v>-1526295.938662</v>
      </c>
      <c r="F14" s="31">
        <f>'Stmt BG - Page 3'!F37</f>
        <v>-1736112.3167959999</v>
      </c>
      <c r="G14" s="31">
        <f>'Stmt BG - Page 3'!G37</f>
        <v>-1614254.327334</v>
      </c>
      <c r="H14" s="31">
        <f>'Stmt BG - Page 3'!H37</f>
        <v>-1795415.188534</v>
      </c>
      <c r="I14" s="17"/>
      <c r="J14" s="264">
        <f t="shared" si="1"/>
        <v>5</v>
      </c>
    </row>
    <row r="15" spans="1:16" x14ac:dyDescent="0.35">
      <c r="A15" s="263">
        <f t="shared" si="0"/>
        <v>6</v>
      </c>
      <c r="B15" s="17"/>
      <c r="C15" s="31"/>
      <c r="D15" s="31"/>
      <c r="E15" s="31"/>
      <c r="F15" s="31"/>
      <c r="G15" s="31"/>
      <c r="H15" s="31"/>
      <c r="I15" s="17"/>
      <c r="J15" s="264">
        <f t="shared" si="1"/>
        <v>6</v>
      </c>
    </row>
    <row r="16" spans="1:16" ht="18.5" x14ac:dyDescent="0.35">
      <c r="A16" s="263">
        <f t="shared" si="0"/>
        <v>7</v>
      </c>
      <c r="B16" s="56" t="s">
        <v>122</v>
      </c>
      <c r="C16" s="31">
        <f>'Stmt BG - Page 3'!C39</f>
        <v>-19079.985914000001</v>
      </c>
      <c r="D16" s="31">
        <f>'Stmt BG - Page 3'!D39</f>
        <v>-20035.921971999996</v>
      </c>
      <c r="E16" s="31">
        <f>'Stmt BG - Page 3'!E39</f>
        <v>-19322.562599999997</v>
      </c>
      <c r="F16" s="31">
        <f>'Stmt BG - Page 3'!F39</f>
        <v>-20949.144546</v>
      </c>
      <c r="G16" s="31">
        <f>'Stmt BG - Page 3'!G39</f>
        <v>-25443.326546</v>
      </c>
      <c r="H16" s="31">
        <f>'Stmt BG - Page 3'!H39</f>
        <v>-31346.871533999994</v>
      </c>
      <c r="I16" s="17"/>
      <c r="J16" s="264">
        <f t="shared" si="1"/>
        <v>7</v>
      </c>
    </row>
    <row r="17" spans="1:18" x14ac:dyDescent="0.35">
      <c r="A17" s="263">
        <f t="shared" si="0"/>
        <v>8</v>
      </c>
      <c r="B17" s="17"/>
      <c r="C17" s="31"/>
      <c r="D17" s="31"/>
      <c r="E17" s="31"/>
      <c r="F17" s="31"/>
      <c r="G17" s="31"/>
      <c r="H17" s="31"/>
      <c r="I17" s="17"/>
      <c r="J17" s="264">
        <f t="shared" si="1"/>
        <v>8</v>
      </c>
    </row>
    <row r="18" spans="1:18" ht="18.5" x14ac:dyDescent="0.35">
      <c r="A18" s="263">
        <f t="shared" si="0"/>
        <v>9</v>
      </c>
      <c r="B18" s="56" t="s">
        <v>123</v>
      </c>
      <c r="C18" s="31">
        <f>'Stmt BG - Page 3'!C41</f>
        <v>-29309.582191999998</v>
      </c>
      <c r="D18" s="31">
        <f>'Stmt BG - Page 3'!D41</f>
        <v>-28831.185702000002</v>
      </c>
      <c r="E18" s="31">
        <f>'Stmt BG - Page 3'!E41</f>
        <v>-32332.816317999997</v>
      </c>
      <c r="F18" s="31">
        <f>'Stmt BG - Page 3'!F41</f>
        <v>-29228.144109999997</v>
      </c>
      <c r="G18" s="31">
        <f>'Stmt BG - Page 3'!G41</f>
        <v>-35078.450307999999</v>
      </c>
      <c r="H18" s="31">
        <f>'Stmt BG - Page 3'!H41</f>
        <v>-44962.541733999999</v>
      </c>
      <c r="I18" s="17"/>
      <c r="J18" s="264">
        <f t="shared" si="1"/>
        <v>9</v>
      </c>
    </row>
    <row r="19" spans="1:18" x14ac:dyDescent="0.35">
      <c r="A19" s="263">
        <f t="shared" si="0"/>
        <v>10</v>
      </c>
      <c r="B19" s="17"/>
      <c r="C19" s="31"/>
      <c r="D19" s="31"/>
      <c r="E19" s="31"/>
      <c r="F19" s="31"/>
      <c r="G19" s="31"/>
      <c r="H19" s="31"/>
      <c r="I19" s="17"/>
      <c r="J19" s="264">
        <f t="shared" si="1"/>
        <v>10</v>
      </c>
    </row>
    <row r="20" spans="1:18" ht="18.5" x14ac:dyDescent="0.35">
      <c r="A20" s="263">
        <f t="shared" si="0"/>
        <v>11</v>
      </c>
      <c r="B20" s="17" t="s">
        <v>124</v>
      </c>
      <c r="C20" s="38">
        <f>'Stmt BG - Page 3'!C43</f>
        <v>-13598.874673999999</v>
      </c>
      <c r="D20" s="38">
        <f>'Stmt BG - Page 3'!D43</f>
        <v>-18729.794006</v>
      </c>
      <c r="E20" s="38">
        <f>'Stmt BG - Page 3'!E43</f>
        <v>-15113.972785999998</v>
      </c>
      <c r="F20" s="38">
        <f>'Stmt BG - Page 3'!F43</f>
        <v>-16245.277773999996</v>
      </c>
      <c r="G20" s="38">
        <f>'Stmt BG - Page 3'!G43</f>
        <v>-16037.455676000001</v>
      </c>
      <c r="H20" s="38">
        <f>'Stmt BG - Page 3'!H43</f>
        <v>-16165.625168</v>
      </c>
      <c r="I20" s="17"/>
      <c r="J20" s="264">
        <f t="shared" si="1"/>
        <v>11</v>
      </c>
    </row>
    <row r="21" spans="1:18" x14ac:dyDescent="0.35">
      <c r="A21" s="263">
        <f t="shared" si="0"/>
        <v>12</v>
      </c>
      <c r="B21" s="17"/>
      <c r="C21" s="31"/>
      <c r="D21" s="31"/>
      <c r="E21" s="31"/>
      <c r="F21" s="31"/>
      <c r="G21" s="31"/>
      <c r="H21" s="31"/>
      <c r="I21" s="7"/>
      <c r="J21" s="264">
        <f t="shared" si="1"/>
        <v>12</v>
      </c>
    </row>
    <row r="22" spans="1:18" x14ac:dyDescent="0.35">
      <c r="A22" s="263">
        <f t="shared" si="0"/>
        <v>13</v>
      </c>
      <c r="B22" s="11" t="s">
        <v>125</v>
      </c>
      <c r="C22" s="514">
        <f t="shared" ref="C22:H22" si="2">SUM(C10:C20)</f>
        <v>-3484113.8866819995</v>
      </c>
      <c r="D22" s="514">
        <f t="shared" si="2"/>
        <v>-3194647.1352399993</v>
      </c>
      <c r="E22" s="514">
        <f t="shared" si="2"/>
        <v>-3063872.8583320002</v>
      </c>
      <c r="F22" s="514">
        <f t="shared" si="2"/>
        <v>-3161735.3174659996</v>
      </c>
      <c r="G22" s="514">
        <f t="shared" si="2"/>
        <v>-3063778.9845960001</v>
      </c>
      <c r="H22" s="514">
        <f t="shared" si="2"/>
        <v>-3338777.5842960002</v>
      </c>
      <c r="I22" s="12"/>
      <c r="J22" s="264">
        <f t="shared" si="1"/>
        <v>13</v>
      </c>
    </row>
    <row r="23" spans="1:18" ht="16" thickBot="1" x14ac:dyDescent="0.4">
      <c r="A23" s="301"/>
      <c r="B23" s="561"/>
      <c r="C23" s="562"/>
      <c r="D23" s="690"/>
      <c r="E23" s="563"/>
      <c r="F23" s="690"/>
      <c r="G23" s="563"/>
      <c r="H23" s="690"/>
      <c r="I23" s="564"/>
      <c r="J23" s="407"/>
      <c r="R23" s="143"/>
    </row>
    <row r="24" spans="1:18" ht="16" thickBot="1" x14ac:dyDescent="0.4">
      <c r="A24" s="37"/>
      <c r="B24" s="396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6"/>
    </row>
    <row r="25" spans="1:18" x14ac:dyDescent="0.35">
      <c r="A25" s="763" t="s">
        <v>8</v>
      </c>
      <c r="B25" s="456"/>
      <c r="C25" s="558" t="str">
        <f t="shared" ref="C25:I25" si="3">C7</f>
        <v>(A)</v>
      </c>
      <c r="D25" s="558" t="str">
        <f t="shared" si="3"/>
        <v>(B)</v>
      </c>
      <c r="E25" s="558" t="str">
        <f t="shared" si="3"/>
        <v>(C)</v>
      </c>
      <c r="F25" s="558" t="str">
        <f t="shared" si="3"/>
        <v>(D)</v>
      </c>
      <c r="G25" s="558" t="str">
        <f t="shared" si="3"/>
        <v>(E)</v>
      </c>
      <c r="H25" s="558" t="str">
        <f t="shared" si="3"/>
        <v>(F)</v>
      </c>
      <c r="I25" s="558" t="str">
        <f t="shared" si="3"/>
        <v>(G)</v>
      </c>
      <c r="J25" s="764" t="s">
        <v>8</v>
      </c>
      <c r="K25" s="396"/>
      <c r="L25" s="396"/>
      <c r="M25" s="396"/>
      <c r="N25" s="396"/>
      <c r="O25" s="396"/>
    </row>
    <row r="26" spans="1:18" ht="16" thickBot="1" x14ac:dyDescent="0.4">
      <c r="A26" s="765" t="s">
        <v>11</v>
      </c>
      <c r="B26" s="153" t="s">
        <v>89</v>
      </c>
      <c r="C26" s="691">
        <v>45108</v>
      </c>
      <c r="D26" s="691">
        <v>45139</v>
      </c>
      <c r="E26" s="691">
        <v>45170</v>
      </c>
      <c r="F26" s="691">
        <v>45200</v>
      </c>
      <c r="G26" s="691">
        <v>45231</v>
      </c>
      <c r="H26" s="691">
        <v>45261</v>
      </c>
      <c r="I26" s="583"/>
      <c r="J26" s="572" t="s">
        <v>11</v>
      </c>
      <c r="K26" s="396"/>
      <c r="L26" s="396"/>
      <c r="M26" s="396"/>
      <c r="N26" s="396"/>
      <c r="O26" s="396"/>
    </row>
    <row r="27" spans="1:18" x14ac:dyDescent="0.35">
      <c r="A27" s="263"/>
      <c r="B27" s="10"/>
      <c r="C27" s="10"/>
      <c r="D27" s="10"/>
      <c r="E27" s="10"/>
      <c r="F27" s="10"/>
      <c r="G27" s="10"/>
      <c r="H27" s="10"/>
      <c r="I27" s="10"/>
      <c r="J27" s="264"/>
      <c r="K27" s="396"/>
      <c r="L27" s="396"/>
      <c r="M27" s="396"/>
      <c r="N27" s="396"/>
      <c r="O27" s="396"/>
    </row>
    <row r="28" spans="1:18" ht="18.5" x14ac:dyDescent="0.35">
      <c r="A28" s="263">
        <f>A22+1</f>
        <v>14</v>
      </c>
      <c r="B28" s="17" t="s">
        <v>119</v>
      </c>
      <c r="C28" s="19">
        <f>'Stmt BG - Page 4'!C33</f>
        <v>-1229076.8396719999</v>
      </c>
      <c r="D28" s="19">
        <f>'Stmt BG - Page 4'!D33</f>
        <v>-1355154.7503560001</v>
      </c>
      <c r="E28" s="19">
        <f>'Stmt BG - Page 4'!E33</f>
        <v>-1493468.4808779999</v>
      </c>
      <c r="F28" s="19">
        <f>'Stmt BG - Page 4'!F33</f>
        <v>-1265888.4864779999</v>
      </c>
      <c r="G28" s="19">
        <f>'Stmt BG - Page 4'!G33</f>
        <v>-1100960.2875920001</v>
      </c>
      <c r="H28" s="19">
        <f>'Stmt BG - Page 4'!H33</f>
        <v>-1203189.3869819997</v>
      </c>
      <c r="I28" s="19">
        <f>SUM(C10:H10,C28:H28)</f>
        <v>-14343296.965381999</v>
      </c>
      <c r="J28" s="264">
        <f>J22+1</f>
        <v>14</v>
      </c>
      <c r="K28" s="396"/>
      <c r="L28" s="396"/>
      <c r="M28" s="396"/>
      <c r="N28" s="396"/>
      <c r="O28" s="396"/>
    </row>
    <row r="29" spans="1:18" x14ac:dyDescent="0.35">
      <c r="A29" s="263">
        <f>A28+1</f>
        <v>15</v>
      </c>
      <c r="B29" s="11"/>
      <c r="C29" s="393"/>
      <c r="D29" s="393"/>
      <c r="E29" s="393"/>
      <c r="F29" s="393"/>
      <c r="G29" s="393"/>
      <c r="H29" s="393"/>
      <c r="I29" s="393"/>
      <c r="J29" s="264">
        <f>J28+1</f>
        <v>15</v>
      </c>
      <c r="K29" s="396"/>
      <c r="L29" s="396"/>
      <c r="M29" s="396"/>
      <c r="N29" s="396"/>
      <c r="O29" s="396"/>
    </row>
    <row r="30" spans="1:18" ht="18.5" x14ac:dyDescent="0.35">
      <c r="A30" s="263">
        <f t="shared" ref="A30:A40" si="4">A29+1</f>
        <v>16</v>
      </c>
      <c r="B30" s="17" t="s">
        <v>120</v>
      </c>
      <c r="C30" s="31">
        <f>'Stmt BG - Page 4'!C35</f>
        <v>-411477.84970600001</v>
      </c>
      <c r="D30" s="31">
        <f>'Stmt BG - Page 4'!D35</f>
        <v>-448373.19075999997</v>
      </c>
      <c r="E30" s="31">
        <f>'Stmt BG - Page 4'!E35</f>
        <v>-468499.38042599993</v>
      </c>
      <c r="F30" s="31">
        <f>'Stmt BG - Page 4'!F35</f>
        <v>-425758.671668</v>
      </c>
      <c r="G30" s="31">
        <f>'Stmt BG - Page 4'!G35</f>
        <v>-388862.04631999996</v>
      </c>
      <c r="H30" s="31">
        <f>'Stmt BG - Page 4'!H35</f>
        <v>-387032.42976199999</v>
      </c>
      <c r="I30" s="19">
        <f>SUM(C12:H12,C30:H30)</f>
        <v>-4772288.8235000009</v>
      </c>
      <c r="J30" s="264">
        <f t="shared" ref="J30:J40" si="5">J29+1</f>
        <v>16</v>
      </c>
      <c r="K30" s="396"/>
      <c r="L30" s="396"/>
      <c r="M30" s="396"/>
      <c r="N30" s="396"/>
      <c r="O30" s="396"/>
    </row>
    <row r="31" spans="1:18" x14ac:dyDescent="0.35">
      <c r="A31" s="263">
        <f t="shared" si="4"/>
        <v>17</v>
      </c>
      <c r="B31" s="386"/>
      <c r="C31" s="394"/>
      <c r="D31" s="394"/>
      <c r="E31" s="394"/>
      <c r="F31" s="394"/>
      <c r="G31" s="394"/>
      <c r="H31" s="394"/>
      <c r="I31" s="31"/>
      <c r="J31" s="264">
        <f t="shared" si="5"/>
        <v>17</v>
      </c>
      <c r="K31" s="396"/>
      <c r="L31" s="396"/>
      <c r="M31" s="396"/>
      <c r="N31" s="396"/>
      <c r="O31" s="396"/>
    </row>
    <row r="32" spans="1:18" ht="18.5" x14ac:dyDescent="0.35">
      <c r="A32" s="263">
        <f t="shared" si="4"/>
        <v>18</v>
      </c>
      <c r="B32" s="17" t="s">
        <v>121</v>
      </c>
      <c r="C32" s="31">
        <f>'Stmt BG - Page 4'!C37</f>
        <v>-1865882.6547679999</v>
      </c>
      <c r="D32" s="31">
        <f>'Stmt BG - Page 4'!D37</f>
        <v>-1899877.6115439998</v>
      </c>
      <c r="E32" s="31">
        <f>'Stmt BG - Page 4'!E37</f>
        <v>-2092546.6677939999</v>
      </c>
      <c r="F32" s="31">
        <f>'Stmt BG - Page 4'!F37</f>
        <v>-1915213.581336</v>
      </c>
      <c r="G32" s="31">
        <f>'Stmt BG - Page 4'!G37</f>
        <v>-1762551.304184</v>
      </c>
      <c r="H32" s="31">
        <f>'Stmt BG - Page 4'!H37</f>
        <v>-1742036.2188240001</v>
      </c>
      <c r="I32" s="19">
        <f>SUM(C14:H14,C32:H32)</f>
        <v>-21215378.283220001</v>
      </c>
      <c r="J32" s="264">
        <f t="shared" si="5"/>
        <v>18</v>
      </c>
      <c r="K32" s="396"/>
      <c r="L32" s="396"/>
      <c r="M32" s="396"/>
      <c r="N32" s="396"/>
      <c r="O32" s="396"/>
    </row>
    <row r="33" spans="1:15" x14ac:dyDescent="0.35">
      <c r="A33" s="263">
        <f t="shared" si="4"/>
        <v>19</v>
      </c>
      <c r="B33" s="17"/>
      <c r="C33" s="31"/>
      <c r="D33" s="31"/>
      <c r="E33" s="31"/>
      <c r="F33" s="31"/>
      <c r="G33" s="31"/>
      <c r="H33" s="31"/>
      <c r="I33" s="31"/>
      <c r="J33" s="264">
        <f t="shared" si="5"/>
        <v>19</v>
      </c>
      <c r="K33" s="396"/>
      <c r="L33" s="396"/>
      <c r="M33" s="396"/>
      <c r="N33" s="396"/>
      <c r="O33" s="396"/>
    </row>
    <row r="34" spans="1:15" ht="18.5" x14ac:dyDescent="0.35">
      <c r="A34" s="263">
        <f t="shared" si="4"/>
        <v>20</v>
      </c>
      <c r="B34" s="56" t="s">
        <v>122</v>
      </c>
      <c r="C34" s="31">
        <f>'Stmt BG - Page 4'!C39</f>
        <v>-34361.965263999999</v>
      </c>
      <c r="D34" s="31">
        <f>'Stmt BG - Page 4'!D39</f>
        <v>-35273.926776</v>
      </c>
      <c r="E34" s="31">
        <f>'Stmt BG - Page 4'!E39</f>
        <v>-36619.962961999998</v>
      </c>
      <c r="F34" s="31">
        <f>'Stmt BG - Page 4'!F39</f>
        <v>-32904.658929999998</v>
      </c>
      <c r="G34" s="31">
        <f>'Stmt BG - Page 4'!G39</f>
        <v>-28653.338691999998</v>
      </c>
      <c r="H34" s="31">
        <f>'Stmt BG - Page 4'!H39</f>
        <v>-23376.214818</v>
      </c>
      <c r="I34" s="19">
        <f>SUM(C16:H16,C34:H34)</f>
        <v>-327367.88055399997</v>
      </c>
      <c r="J34" s="264">
        <f t="shared" si="5"/>
        <v>20</v>
      </c>
      <c r="K34" s="396"/>
      <c r="L34" s="396"/>
      <c r="M34" s="396"/>
      <c r="N34" s="396"/>
      <c r="O34" s="396"/>
    </row>
    <row r="35" spans="1:15" x14ac:dyDescent="0.35">
      <c r="A35" s="263">
        <f t="shared" si="4"/>
        <v>21</v>
      </c>
      <c r="B35" s="17"/>
      <c r="C35" s="31"/>
      <c r="D35" s="31"/>
      <c r="E35" s="31"/>
      <c r="F35" s="31"/>
      <c r="G35" s="31"/>
      <c r="H35" s="31"/>
      <c r="I35" s="31"/>
      <c r="J35" s="264">
        <f t="shared" si="5"/>
        <v>21</v>
      </c>
      <c r="K35" s="396"/>
      <c r="L35" s="396"/>
      <c r="M35" s="396"/>
      <c r="N35" s="396"/>
      <c r="O35" s="396"/>
    </row>
    <row r="36" spans="1:15" ht="18.5" x14ac:dyDescent="0.35">
      <c r="A36" s="263">
        <f t="shared" si="4"/>
        <v>22</v>
      </c>
      <c r="B36" s="56" t="s">
        <v>123</v>
      </c>
      <c r="C36" s="31">
        <f>'Stmt BG - Page 4'!C41</f>
        <v>-39206.269959999998</v>
      </c>
      <c r="D36" s="31">
        <f>'Stmt BG - Page 4'!D41</f>
        <v>-53726.17025599999</v>
      </c>
      <c r="E36" s="31">
        <f>'Stmt BG - Page 4'!E41</f>
        <v>-44769.228746000001</v>
      </c>
      <c r="F36" s="31">
        <f>'Stmt BG - Page 4'!F41</f>
        <v>-45003.23113</v>
      </c>
      <c r="G36" s="31">
        <f>'Stmt BG - Page 4'!G41</f>
        <v>-35668.936600000001</v>
      </c>
      <c r="H36" s="31">
        <f>'Stmt BG - Page 4'!H41</f>
        <v>-35477.224199999997</v>
      </c>
      <c r="I36" s="19">
        <f>SUM(C18:H18,C36:H36)</f>
        <v>-453593.78125599999</v>
      </c>
      <c r="J36" s="264">
        <f t="shared" si="5"/>
        <v>22</v>
      </c>
      <c r="K36" s="396"/>
      <c r="L36" s="396"/>
      <c r="M36" s="396"/>
      <c r="N36" s="396"/>
      <c r="O36" s="396"/>
    </row>
    <row r="37" spans="1:15" x14ac:dyDescent="0.35">
      <c r="A37" s="263">
        <f t="shared" si="4"/>
        <v>23</v>
      </c>
      <c r="B37" s="17"/>
      <c r="C37" s="31"/>
      <c r="D37" s="31"/>
      <c r="E37" s="31"/>
      <c r="F37" s="31"/>
      <c r="G37" s="31"/>
      <c r="H37" s="31"/>
      <c r="I37" s="31"/>
      <c r="J37" s="264">
        <f t="shared" si="5"/>
        <v>23</v>
      </c>
      <c r="K37" s="396"/>
      <c r="L37" s="396"/>
      <c r="M37" s="396"/>
      <c r="N37" s="396"/>
      <c r="O37" s="396"/>
    </row>
    <row r="38" spans="1:15" ht="18.5" x14ac:dyDescent="0.35">
      <c r="A38" s="263">
        <f t="shared" si="4"/>
        <v>24</v>
      </c>
      <c r="B38" s="17" t="s">
        <v>124</v>
      </c>
      <c r="C38" s="38">
        <f>'Stmt BG - Page 4'!C43</f>
        <v>-15384.650511999998</v>
      </c>
      <c r="D38" s="38">
        <f>'Stmt BG - Page 4'!D43</f>
        <v>-11510.790983999999</v>
      </c>
      <c r="E38" s="38">
        <f>'Stmt BG - Page 4'!E43</f>
        <v>-17528.338784</v>
      </c>
      <c r="F38" s="38">
        <f>'Stmt BG - Page 4'!F43</f>
        <v>-14639.980211999999</v>
      </c>
      <c r="G38" s="38">
        <f>'Stmt BG - Page 4'!G43</f>
        <v>-16741.462232000002</v>
      </c>
      <c r="H38" s="38">
        <f>'Stmt BG - Page 4'!H43</f>
        <v>-17860.246866000001</v>
      </c>
      <c r="I38" s="14">
        <f>SUM(C20:H20,C38:H38)</f>
        <v>-189556.46967399996</v>
      </c>
      <c r="J38" s="264">
        <f t="shared" si="5"/>
        <v>24</v>
      </c>
      <c r="K38" s="396"/>
      <c r="L38" s="396"/>
      <c r="M38" s="396"/>
      <c r="N38" s="396"/>
      <c r="O38" s="396"/>
    </row>
    <row r="39" spans="1:15" x14ac:dyDescent="0.35">
      <c r="A39" s="263">
        <f t="shared" si="4"/>
        <v>25</v>
      </c>
      <c r="B39" s="17"/>
      <c r="C39" s="31"/>
      <c r="D39" s="31"/>
      <c r="E39" s="31"/>
      <c r="F39" s="31"/>
      <c r="G39" s="31"/>
      <c r="H39" s="31"/>
      <c r="I39" s="31"/>
      <c r="J39" s="264">
        <f t="shared" si="5"/>
        <v>25</v>
      </c>
      <c r="K39" s="396"/>
      <c r="L39" s="396"/>
      <c r="M39" s="396"/>
      <c r="N39" s="396"/>
      <c r="O39" s="396"/>
    </row>
    <row r="40" spans="1:15" x14ac:dyDescent="0.35">
      <c r="A40" s="263">
        <f t="shared" si="4"/>
        <v>26</v>
      </c>
      <c r="B40" s="11" t="s">
        <v>125</v>
      </c>
      <c r="C40" s="514">
        <f t="shared" ref="C40:I40" si="6">SUM(C28:C38)</f>
        <v>-3595390.229882</v>
      </c>
      <c r="D40" s="514">
        <f t="shared" si="6"/>
        <v>-3803916.4406759995</v>
      </c>
      <c r="E40" s="514">
        <f t="shared" si="6"/>
        <v>-4153432.0595899997</v>
      </c>
      <c r="F40" s="514">
        <f t="shared" si="6"/>
        <v>-3699408.6097540003</v>
      </c>
      <c r="G40" s="514">
        <f t="shared" si="6"/>
        <v>-3333437.3756200005</v>
      </c>
      <c r="H40" s="514">
        <f t="shared" si="6"/>
        <v>-3408971.7214519996</v>
      </c>
      <c r="I40" s="514">
        <f t="shared" si="6"/>
        <v>-41301482.20358599</v>
      </c>
      <c r="J40" s="264">
        <f t="shared" si="5"/>
        <v>26</v>
      </c>
      <c r="K40" s="396"/>
      <c r="L40" s="396"/>
      <c r="M40" s="396"/>
      <c r="N40" s="396"/>
      <c r="O40" s="396"/>
    </row>
    <row r="41" spans="1:15" ht="16" thickBot="1" x14ac:dyDescent="0.4">
      <c r="A41" s="301"/>
      <c r="B41" s="561"/>
      <c r="C41" s="690"/>
      <c r="D41" s="563"/>
      <c r="E41" s="562"/>
      <c r="F41" s="690"/>
      <c r="G41" s="563"/>
      <c r="H41" s="690"/>
      <c r="I41" s="261"/>
      <c r="J41" s="407"/>
      <c r="K41" s="396"/>
      <c r="L41" s="396"/>
      <c r="M41" s="396"/>
      <c r="N41" s="396"/>
      <c r="O41" s="396"/>
    </row>
    <row r="42" spans="1:15" x14ac:dyDescent="0.35">
      <c r="A42" s="50"/>
      <c r="B42" s="396"/>
      <c r="C42" s="396"/>
      <c r="D42" s="396"/>
      <c r="E42" s="396"/>
      <c r="F42" s="396"/>
      <c r="G42" s="396"/>
      <c r="H42" s="396"/>
      <c r="I42" s="396"/>
      <c r="J42" s="396"/>
      <c r="K42" s="396"/>
      <c r="L42" s="396"/>
      <c r="M42" s="396"/>
      <c r="N42" s="396"/>
      <c r="O42" s="397"/>
    </row>
    <row r="43" spans="1:15" ht="18.5" x14ac:dyDescent="0.35">
      <c r="A43" s="83" t="s">
        <v>126</v>
      </c>
      <c r="B43" s="22" t="s">
        <v>127</v>
      </c>
      <c r="C43" s="243"/>
      <c r="D43" s="243"/>
      <c r="F43" s="520">
        <v>4</v>
      </c>
      <c r="G43" s="22" t="s">
        <v>128</v>
      </c>
    </row>
    <row r="44" spans="1:15" ht="18.5" x14ac:dyDescent="0.35">
      <c r="A44" s="83">
        <v>2</v>
      </c>
      <c r="B44" s="22" t="s">
        <v>129</v>
      </c>
      <c r="C44" s="832"/>
      <c r="D44" s="832"/>
      <c r="F44" s="520">
        <v>5</v>
      </c>
      <c r="G44" s="22" t="s">
        <v>130</v>
      </c>
    </row>
    <row r="45" spans="1:15" ht="18.5" x14ac:dyDescent="0.35">
      <c r="A45" s="83">
        <v>3</v>
      </c>
      <c r="B45" s="22" t="s">
        <v>131</v>
      </c>
      <c r="C45" s="243"/>
      <c r="D45" s="243"/>
      <c r="F45" s="520">
        <v>6</v>
      </c>
      <c r="G45" s="22" t="s">
        <v>132</v>
      </c>
    </row>
    <row r="46" spans="1:15" x14ac:dyDescent="0.35">
      <c r="C46" s="243"/>
      <c r="D46" s="243"/>
    </row>
    <row r="47" spans="1:15" x14ac:dyDescent="0.35">
      <c r="C47" s="243"/>
      <c r="D47" s="243"/>
    </row>
    <row r="48" spans="1:15" x14ac:dyDescent="0.35">
      <c r="C48" s="243"/>
      <c r="D48" s="243"/>
    </row>
    <row r="49" spans="1:1" x14ac:dyDescent="0.35">
      <c r="A49" s="37"/>
    </row>
    <row r="50" spans="1:1" x14ac:dyDescent="0.35">
      <c r="A50" s="37"/>
    </row>
    <row r="51" spans="1:1" x14ac:dyDescent="0.35">
      <c r="A51" s="37"/>
    </row>
    <row r="52" spans="1:1" x14ac:dyDescent="0.35">
      <c r="A52" s="37"/>
    </row>
    <row r="53" spans="1:1" x14ac:dyDescent="0.35">
      <c r="A53" s="37"/>
    </row>
    <row r="54" spans="1:1" x14ac:dyDescent="0.35">
      <c r="A54" s="37"/>
    </row>
    <row r="55" spans="1:1" x14ac:dyDescent="0.35">
      <c r="A55" s="37"/>
    </row>
    <row r="56" spans="1:1" x14ac:dyDescent="0.35">
      <c r="A56" s="37"/>
    </row>
    <row r="57" spans="1:1" x14ac:dyDescent="0.35">
      <c r="A57" s="37"/>
    </row>
    <row r="58" spans="1:1" x14ac:dyDescent="0.35">
      <c r="A58" s="37"/>
    </row>
    <row r="59" spans="1:1" x14ac:dyDescent="0.35">
      <c r="A59" s="37"/>
    </row>
    <row r="60" spans="1:1" x14ac:dyDescent="0.35">
      <c r="A60" s="37"/>
    </row>
    <row r="61" spans="1:1" x14ac:dyDescent="0.35">
      <c r="A61" s="37"/>
    </row>
    <row r="62" spans="1:1" x14ac:dyDescent="0.35">
      <c r="A62" s="37"/>
    </row>
    <row r="63" spans="1:1" x14ac:dyDescent="0.35">
      <c r="A63" s="37"/>
    </row>
    <row r="64" spans="1:1" x14ac:dyDescent="0.35">
      <c r="A64" s="37"/>
    </row>
    <row r="65" spans="1:1" x14ac:dyDescent="0.35">
      <c r="A65" s="37"/>
    </row>
    <row r="66" spans="1:1" x14ac:dyDescent="0.35">
      <c r="A66" s="37"/>
    </row>
    <row r="67" spans="1:1" x14ac:dyDescent="0.35">
      <c r="A67" s="37"/>
    </row>
    <row r="68" spans="1:1" x14ac:dyDescent="0.35">
      <c r="A68" s="37"/>
    </row>
    <row r="69" spans="1:1" x14ac:dyDescent="0.35">
      <c r="A69" s="37"/>
    </row>
    <row r="70" spans="1:1" x14ac:dyDescent="0.35">
      <c r="A70" s="37"/>
    </row>
    <row r="71" spans="1:1" x14ac:dyDescent="0.35">
      <c r="A71" s="37"/>
    </row>
    <row r="72" spans="1:1" x14ac:dyDescent="0.35">
      <c r="A72" s="37"/>
    </row>
    <row r="73" spans="1:1" x14ac:dyDescent="0.35">
      <c r="A73" s="37"/>
    </row>
    <row r="74" spans="1:1" x14ac:dyDescent="0.35">
      <c r="A74" s="37"/>
    </row>
    <row r="75" spans="1:1" x14ac:dyDescent="0.35">
      <c r="A75" s="37"/>
    </row>
    <row r="76" spans="1:1" x14ac:dyDescent="0.35">
      <c r="A76" s="37"/>
    </row>
    <row r="77" spans="1:1" x14ac:dyDescent="0.35">
      <c r="A77" s="37"/>
    </row>
    <row r="78" spans="1:1" x14ac:dyDescent="0.35">
      <c r="A78" s="37"/>
    </row>
    <row r="79" spans="1:1" x14ac:dyDescent="0.35">
      <c r="A79" s="37"/>
    </row>
    <row r="80" spans="1:1" x14ac:dyDescent="0.35">
      <c r="A80" s="37"/>
    </row>
    <row r="81" spans="1:1" x14ac:dyDescent="0.35">
      <c r="A81" s="37"/>
    </row>
    <row r="82" spans="1:1" x14ac:dyDescent="0.35">
      <c r="A82" s="37"/>
    </row>
    <row r="83" spans="1:1" x14ac:dyDescent="0.35">
      <c r="A83" s="37"/>
    </row>
    <row r="84" spans="1:1" x14ac:dyDescent="0.35">
      <c r="A84" s="37"/>
    </row>
    <row r="85" spans="1:1" x14ac:dyDescent="0.35">
      <c r="A85" s="37"/>
    </row>
    <row r="86" spans="1:1" x14ac:dyDescent="0.35">
      <c r="A86" s="37"/>
    </row>
    <row r="87" spans="1:1" x14ac:dyDescent="0.35">
      <c r="A87" s="37"/>
    </row>
    <row r="88" spans="1:1" x14ac:dyDescent="0.35">
      <c r="A88" s="37"/>
    </row>
    <row r="89" spans="1:1" x14ac:dyDescent="0.35">
      <c r="A89" s="37"/>
    </row>
    <row r="90" spans="1:1" x14ac:dyDescent="0.35">
      <c r="A90" s="37"/>
    </row>
    <row r="91" spans="1:1" x14ac:dyDescent="0.35">
      <c r="A91" s="37"/>
    </row>
    <row r="92" spans="1:1" x14ac:dyDescent="0.35">
      <c r="A92" s="37"/>
    </row>
    <row r="93" spans="1:1" x14ac:dyDescent="0.35">
      <c r="A93" s="37"/>
    </row>
    <row r="94" spans="1:1" x14ac:dyDescent="0.35">
      <c r="A94" s="37"/>
    </row>
    <row r="95" spans="1:1" x14ac:dyDescent="0.35">
      <c r="A95" s="37"/>
    </row>
    <row r="96" spans="1:1" x14ac:dyDescent="0.35">
      <c r="A96" s="37"/>
    </row>
    <row r="97" spans="1:1" x14ac:dyDescent="0.35">
      <c r="A97" s="37"/>
    </row>
    <row r="98" spans="1:1" x14ac:dyDescent="0.35">
      <c r="A98" s="37"/>
    </row>
    <row r="99" spans="1:1" x14ac:dyDescent="0.35">
      <c r="A99" s="37"/>
    </row>
    <row r="100" spans="1:1" x14ac:dyDescent="0.35">
      <c r="A100" s="37"/>
    </row>
    <row r="101" spans="1:1" x14ac:dyDescent="0.35">
      <c r="A101" s="37"/>
    </row>
    <row r="102" spans="1:1" x14ac:dyDescent="0.35">
      <c r="A102" s="37"/>
    </row>
    <row r="103" spans="1:1" x14ac:dyDescent="0.35">
      <c r="A103" s="37"/>
    </row>
    <row r="104" spans="1:1" x14ac:dyDescent="0.35">
      <c r="A104" s="37"/>
    </row>
    <row r="105" spans="1:1" x14ac:dyDescent="0.35">
      <c r="A105" s="37"/>
    </row>
    <row r="106" spans="1:1" x14ac:dyDescent="0.35">
      <c r="A106" s="37"/>
    </row>
    <row r="107" spans="1:1" x14ac:dyDescent="0.35">
      <c r="A107" s="37"/>
    </row>
    <row r="108" spans="1:1" x14ac:dyDescent="0.35">
      <c r="A108" s="37"/>
    </row>
    <row r="109" spans="1:1" x14ac:dyDescent="0.35">
      <c r="A109" s="37"/>
    </row>
    <row r="110" spans="1:1" x14ac:dyDescent="0.35">
      <c r="A110" s="37"/>
    </row>
    <row r="111" spans="1:1" x14ac:dyDescent="0.35">
      <c r="A111" s="37"/>
    </row>
    <row r="112" spans="1:1" x14ac:dyDescent="0.35">
      <c r="A112" s="37"/>
    </row>
    <row r="113" spans="1:1" x14ac:dyDescent="0.35">
      <c r="A113" s="37"/>
    </row>
    <row r="114" spans="1:1" x14ac:dyDescent="0.35">
      <c r="A114" s="37"/>
    </row>
    <row r="115" spans="1:1" x14ac:dyDescent="0.35">
      <c r="A115" s="37"/>
    </row>
    <row r="116" spans="1:1" x14ac:dyDescent="0.35">
      <c r="A116" s="37"/>
    </row>
    <row r="117" spans="1:1" x14ac:dyDescent="0.35">
      <c r="A117" s="37"/>
    </row>
    <row r="118" spans="1:1" x14ac:dyDescent="0.35">
      <c r="A118" s="37"/>
    </row>
    <row r="119" spans="1:1" x14ac:dyDescent="0.35">
      <c r="A119" s="37"/>
    </row>
    <row r="120" spans="1:1" x14ac:dyDescent="0.35">
      <c r="A120" s="37"/>
    </row>
    <row r="121" spans="1:1" x14ac:dyDescent="0.35">
      <c r="A121" s="37"/>
    </row>
    <row r="122" spans="1:1" x14ac:dyDescent="0.35">
      <c r="A122" s="37"/>
    </row>
    <row r="123" spans="1:1" x14ac:dyDescent="0.35">
      <c r="A123" s="37"/>
    </row>
    <row r="124" spans="1:1" x14ac:dyDescent="0.35">
      <c r="A124" s="37"/>
    </row>
    <row r="125" spans="1:1" x14ac:dyDescent="0.35">
      <c r="A125" s="37"/>
    </row>
    <row r="126" spans="1:1" x14ac:dyDescent="0.35">
      <c r="A126" s="37"/>
    </row>
    <row r="127" spans="1:1" x14ac:dyDescent="0.35">
      <c r="A127" s="37"/>
    </row>
    <row r="128" spans="1:1" x14ac:dyDescent="0.35">
      <c r="A128" s="37"/>
    </row>
    <row r="129" spans="1:1" x14ac:dyDescent="0.35">
      <c r="A129" s="37"/>
    </row>
    <row r="130" spans="1:1" x14ac:dyDescent="0.35">
      <c r="A130" s="37"/>
    </row>
    <row r="131" spans="1:1" x14ac:dyDescent="0.35">
      <c r="A131" s="37"/>
    </row>
    <row r="132" spans="1:1" x14ac:dyDescent="0.35">
      <c r="A132" s="37"/>
    </row>
    <row r="133" spans="1:1" x14ac:dyDescent="0.35">
      <c r="A133" s="37"/>
    </row>
    <row r="134" spans="1:1" x14ac:dyDescent="0.35">
      <c r="A134" s="37"/>
    </row>
    <row r="135" spans="1:1" x14ac:dyDescent="0.35">
      <c r="A135" s="37"/>
    </row>
    <row r="136" spans="1:1" x14ac:dyDescent="0.35">
      <c r="A136" s="37"/>
    </row>
    <row r="137" spans="1:1" x14ac:dyDescent="0.35">
      <c r="A137" s="37"/>
    </row>
    <row r="138" spans="1:1" x14ac:dyDescent="0.35">
      <c r="A138" s="37"/>
    </row>
    <row r="139" spans="1:1" x14ac:dyDescent="0.35">
      <c r="A139" s="37"/>
    </row>
    <row r="140" spans="1:1" x14ac:dyDescent="0.35">
      <c r="A140" s="37"/>
    </row>
    <row r="141" spans="1:1" x14ac:dyDescent="0.35">
      <c r="A141" s="37"/>
    </row>
    <row r="142" spans="1:1" x14ac:dyDescent="0.35">
      <c r="A142" s="37"/>
    </row>
    <row r="143" spans="1:1" x14ac:dyDescent="0.35">
      <c r="A143" s="37"/>
    </row>
  </sheetData>
  <mergeCells count="4">
    <mergeCell ref="A2:J2"/>
    <mergeCell ref="A3:J3"/>
    <mergeCell ref="A4:J4"/>
    <mergeCell ref="A5:J5"/>
  </mergeCells>
  <printOptions horizontalCentered="1"/>
  <pageMargins left="0.25" right="0.25" top="0.5" bottom="0.5" header="0.25" footer="0.25"/>
  <pageSetup scale="72" orientation="landscape" r:id="rId1"/>
  <headerFooter alignWithMargins="0">
    <oddFooter>&amp;L&amp;"Times New Roman,Regular"&amp;12&amp;F&amp;C&amp;"Times New Roman,Regular"&amp;12Page 2 of 4&amp;R&amp;"Times New Roman,Regular"&amp;12Stmt BG - Page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J122"/>
  <sheetViews>
    <sheetView zoomScale="80" zoomScaleNormal="80" workbookViewId="0"/>
  </sheetViews>
  <sheetFormatPr defaultColWidth="9.1796875" defaultRowHeight="12.5" x14ac:dyDescent="0.25"/>
  <cols>
    <col min="1" max="1" width="5.54296875" style="243" customWidth="1"/>
    <col min="2" max="2" width="45.54296875" style="243" customWidth="1"/>
    <col min="3" max="8" width="15.54296875" style="243" customWidth="1"/>
    <col min="9" max="9" width="40.54296875" style="243" customWidth="1"/>
    <col min="10" max="10" width="5.54296875" style="243" customWidth="1"/>
    <col min="11" max="16384" width="9.1796875" style="243"/>
  </cols>
  <sheetData>
    <row r="2" spans="1:10" ht="15.5" x14ac:dyDescent="0.25">
      <c r="A2" s="5" t="s">
        <v>81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15.5" x14ac:dyDescent="0.25">
      <c r="A3" s="419" t="s">
        <v>53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5.5" customHeight="1" x14ac:dyDescent="0.25">
      <c r="A4" s="972" t="str">
        <f>'Stmt BG - Page 1'!A4</f>
        <v>Transmission Revenue Balancing Account Adjustment (TRBAA) Revenues Data to Reflect Changed Rates</v>
      </c>
      <c r="B4" s="972"/>
      <c r="C4" s="972"/>
      <c r="D4" s="972"/>
      <c r="E4" s="972"/>
      <c r="F4" s="972"/>
      <c r="G4" s="972"/>
      <c r="H4" s="972"/>
      <c r="I4" s="972"/>
      <c r="J4" s="972"/>
    </row>
    <row r="5" spans="1:10" ht="15.5" x14ac:dyDescent="0.25">
      <c r="A5" s="419" t="str">
        <f>'Stmt BG - Page 1'!A6</f>
        <v>Rate Effective Period - Twelve Months Ending December 31, 2023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ht="16" thickBot="1" x14ac:dyDescent="0.4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0" ht="15" x14ac:dyDescent="0.3">
      <c r="A7" s="557"/>
      <c r="B7" s="456"/>
      <c r="C7" s="565" t="s">
        <v>3</v>
      </c>
      <c r="D7" s="565" t="s">
        <v>4</v>
      </c>
      <c r="E7" s="565" t="s">
        <v>114</v>
      </c>
      <c r="F7" s="565" t="s">
        <v>115</v>
      </c>
      <c r="G7" s="565" t="s">
        <v>116</v>
      </c>
      <c r="H7" s="566" t="s">
        <v>117</v>
      </c>
      <c r="I7" s="566" t="s">
        <v>118</v>
      </c>
      <c r="J7" s="559"/>
    </row>
    <row r="8" spans="1:10" ht="15" x14ac:dyDescent="0.3">
      <c r="A8" s="551" t="s">
        <v>8</v>
      </c>
      <c r="B8" s="75"/>
      <c r="C8" s="567">
        <f>'Stmt BG - Page 2'!C8</f>
        <v>44927</v>
      </c>
      <c r="D8" s="567">
        <f>'Stmt BG - Page 2'!D8</f>
        <v>44958</v>
      </c>
      <c r="E8" s="567">
        <f>'Stmt BG - Page 2'!E8</f>
        <v>44986</v>
      </c>
      <c r="F8" s="567">
        <f>'Stmt BG - Page 2'!F8</f>
        <v>45017</v>
      </c>
      <c r="G8" s="567">
        <f>'Stmt BG - Page 2'!G8</f>
        <v>45047</v>
      </c>
      <c r="H8" s="567">
        <f>'Stmt BG - Page 2'!H8</f>
        <v>45078</v>
      </c>
      <c r="I8" s="568"/>
      <c r="J8" s="552" t="s">
        <v>8</v>
      </c>
    </row>
    <row r="9" spans="1:10" ht="15.5" thickBot="1" x14ac:dyDescent="0.35">
      <c r="A9" s="569" t="s">
        <v>11</v>
      </c>
      <c r="B9" s="153" t="s">
        <v>89</v>
      </c>
      <c r="C9" s="153" t="s">
        <v>133</v>
      </c>
      <c r="D9" s="153" t="s">
        <v>133</v>
      </c>
      <c r="E9" s="153" t="s">
        <v>133</v>
      </c>
      <c r="F9" s="153" t="s">
        <v>133</v>
      </c>
      <c r="G9" s="153" t="s">
        <v>133</v>
      </c>
      <c r="H9" s="153" t="s">
        <v>133</v>
      </c>
      <c r="I9" s="153" t="s">
        <v>16</v>
      </c>
      <c r="J9" s="570" t="s">
        <v>11</v>
      </c>
    </row>
    <row r="10" spans="1:10" ht="15.5" x14ac:dyDescent="0.35">
      <c r="A10" s="263"/>
      <c r="B10" s="10"/>
      <c r="C10" s="74"/>
      <c r="D10" s="10"/>
      <c r="E10" s="10"/>
      <c r="F10" s="10"/>
      <c r="G10" s="10"/>
      <c r="H10" s="10"/>
      <c r="I10" s="10"/>
      <c r="J10" s="264"/>
    </row>
    <row r="11" spans="1:10" ht="15.5" x14ac:dyDescent="0.35">
      <c r="A11" s="263">
        <v>1</v>
      </c>
      <c r="B11" s="11" t="s">
        <v>94</v>
      </c>
      <c r="C11" s="31">
        <f>'WP 1.2 Forecast Sales'!C6*1000</f>
        <v>570432158.5</v>
      </c>
      <c r="D11" s="31">
        <f>'WP 1.2 Forecast Sales'!D6*1000</f>
        <v>480488065.10000002</v>
      </c>
      <c r="E11" s="31">
        <f>'WP 1.2 Forecast Sales'!E6*1000</f>
        <v>454817746.09999996</v>
      </c>
      <c r="F11" s="31">
        <f>'WP 1.2 Forecast Sales'!F6*1000</f>
        <v>411956350.5</v>
      </c>
      <c r="G11" s="31">
        <f>'WP 1.2 Forecast Sales'!G6*1000</f>
        <v>414552229.60000002</v>
      </c>
      <c r="H11" s="31">
        <f>'WP 1.2 Forecast Sales'!H6*1000</f>
        <v>434513257.39999998</v>
      </c>
      <c r="I11" s="241" t="s">
        <v>134</v>
      </c>
      <c r="J11" s="264">
        <v>1</v>
      </c>
    </row>
    <row r="12" spans="1:10" ht="15.5" x14ac:dyDescent="0.35">
      <c r="A12" s="263">
        <f>A11+1</f>
        <v>2</v>
      </c>
      <c r="B12" s="11"/>
      <c r="C12" s="399"/>
      <c r="D12" s="399"/>
      <c r="E12" s="399"/>
      <c r="F12" s="399"/>
      <c r="G12" s="399"/>
      <c r="H12" s="399"/>
      <c r="I12" s="400"/>
      <c r="J12" s="264">
        <f>J11+1</f>
        <v>2</v>
      </c>
    </row>
    <row r="13" spans="1:10" ht="15.5" x14ac:dyDescent="0.35">
      <c r="A13" s="263">
        <f t="shared" ref="A13:A45" si="0">A12+1</f>
        <v>3</v>
      </c>
      <c r="B13" s="11" t="s">
        <v>135</v>
      </c>
      <c r="C13" s="31">
        <f>'WP 1.2 Forecast Sales'!C7*1000</f>
        <v>157781564.69999999</v>
      </c>
      <c r="D13" s="31">
        <f>'WP 1.2 Forecast Sales'!D7*1000</f>
        <v>148316064.60000002</v>
      </c>
      <c r="E13" s="31">
        <f>'WP 1.2 Forecast Sales'!E7*1000</f>
        <v>152953976.20000002</v>
      </c>
      <c r="F13" s="31">
        <f>'WP 1.2 Forecast Sales'!F7*1000</f>
        <v>149696721.5</v>
      </c>
      <c r="G13" s="31">
        <f>'WP 1.2 Forecast Sales'!G7*1000</f>
        <v>152788855</v>
      </c>
      <c r="H13" s="31">
        <f>'WP 1.2 Forecast Sales'!H7*1000</f>
        <v>165026972.90000001</v>
      </c>
      <c r="I13" s="241" t="s">
        <v>136</v>
      </c>
      <c r="J13" s="264">
        <f t="shared" ref="J13:J45" si="1">J12+1</f>
        <v>3</v>
      </c>
    </row>
    <row r="14" spans="1:10" ht="15.5" x14ac:dyDescent="0.35">
      <c r="A14" s="263">
        <f t="shared" si="0"/>
        <v>4</v>
      </c>
      <c r="B14" s="386"/>
      <c r="C14" s="394"/>
      <c r="D14" s="394"/>
      <c r="E14" s="394"/>
      <c r="F14" s="394"/>
      <c r="G14" s="394"/>
      <c r="H14" s="394"/>
      <c r="I14" s="401"/>
      <c r="J14" s="264">
        <f t="shared" si="1"/>
        <v>4</v>
      </c>
    </row>
    <row r="15" spans="1:10" ht="15.5" x14ac:dyDescent="0.35">
      <c r="A15" s="263">
        <f t="shared" si="0"/>
        <v>5</v>
      </c>
      <c r="B15" s="17" t="s">
        <v>100</v>
      </c>
      <c r="C15" s="31">
        <f>'WP 1.2 Forecast Sales'!C8*1000</f>
        <v>685887699.89999998</v>
      </c>
      <c r="D15" s="31">
        <f>'WP 1.2 Forecast Sales'!D8*1000</f>
        <v>663365388.29999995</v>
      </c>
      <c r="E15" s="31">
        <f>'WP 1.2 Forecast Sales'!E8*1000</f>
        <v>630700801.10000002</v>
      </c>
      <c r="F15" s="31">
        <f>'WP 1.2 Forecast Sales'!F8*1000</f>
        <v>717401783.79999995</v>
      </c>
      <c r="G15" s="31">
        <f>'WP 1.2 Forecast Sales'!G8*1000</f>
        <v>667047242.70000005</v>
      </c>
      <c r="H15" s="31">
        <f>'WP 1.2 Forecast Sales'!H8*1000</f>
        <v>741907102.70000005</v>
      </c>
      <c r="I15" s="241" t="s">
        <v>137</v>
      </c>
      <c r="J15" s="264">
        <f t="shared" si="1"/>
        <v>5</v>
      </c>
    </row>
    <row r="16" spans="1:10" ht="15.5" x14ac:dyDescent="0.35">
      <c r="A16" s="263">
        <f t="shared" si="0"/>
        <v>6</v>
      </c>
      <c r="B16" s="11"/>
      <c r="C16" s="31"/>
      <c r="D16" s="31"/>
      <c r="E16" s="31"/>
      <c r="F16" s="31"/>
      <c r="G16" s="31"/>
      <c r="H16" s="31"/>
      <c r="I16" s="402"/>
      <c r="J16" s="264">
        <f t="shared" si="1"/>
        <v>6</v>
      </c>
    </row>
    <row r="17" spans="1:10" ht="15.5" x14ac:dyDescent="0.35">
      <c r="A17" s="263">
        <f t="shared" si="0"/>
        <v>7</v>
      </c>
      <c r="B17" s="11" t="s">
        <v>103</v>
      </c>
      <c r="C17" s="31">
        <f>'WP 1.2 Forecast Sales'!C10*1000</f>
        <v>7884291.7000000002</v>
      </c>
      <c r="D17" s="31">
        <f>'WP 1.2 Forecast Sales'!D10*1000</f>
        <v>8279306.5999999996</v>
      </c>
      <c r="E17" s="31">
        <f>'WP 1.2 Forecast Sales'!E10*1000</f>
        <v>7984530</v>
      </c>
      <c r="F17" s="31">
        <f>'WP 1.2 Forecast Sales'!F10*1000</f>
        <v>8656671.3000000007</v>
      </c>
      <c r="G17" s="31">
        <f>'WP 1.2 Forecast Sales'!G10*1000</f>
        <v>10513771.300000001</v>
      </c>
      <c r="H17" s="31">
        <f>'WP 1.2 Forecast Sales'!H10*1000</f>
        <v>12953252.699999999</v>
      </c>
      <c r="I17" s="241" t="s">
        <v>138</v>
      </c>
      <c r="J17" s="264">
        <f t="shared" si="1"/>
        <v>7</v>
      </c>
    </row>
    <row r="18" spans="1:10" ht="15.5" x14ac:dyDescent="0.35">
      <c r="A18" s="263">
        <f t="shared" si="0"/>
        <v>8</v>
      </c>
      <c r="B18" s="11"/>
      <c r="C18" s="31"/>
      <c r="D18" s="31"/>
      <c r="E18" s="31"/>
      <c r="F18" s="31"/>
      <c r="G18" s="31"/>
      <c r="H18" s="31"/>
      <c r="I18" s="402"/>
      <c r="J18" s="264">
        <f t="shared" si="1"/>
        <v>8</v>
      </c>
    </row>
    <row r="19" spans="1:10" ht="15.5" x14ac:dyDescent="0.35">
      <c r="A19" s="263">
        <f t="shared" si="0"/>
        <v>9</v>
      </c>
      <c r="B19" s="11" t="s">
        <v>106</v>
      </c>
      <c r="C19" s="31">
        <f>'WP 1.2 Forecast Sales'!C11*1000</f>
        <v>12111397.6</v>
      </c>
      <c r="D19" s="31">
        <f>'WP 1.2 Forecast Sales'!D11*1000</f>
        <v>11913713.100000001</v>
      </c>
      <c r="E19" s="31">
        <f>'WP 1.2 Forecast Sales'!E11*1000</f>
        <v>13360667.9</v>
      </c>
      <c r="F19" s="31">
        <f>'WP 1.2 Forecast Sales'!F11*1000</f>
        <v>12077745.5</v>
      </c>
      <c r="G19" s="31">
        <f>'WP 1.2 Forecast Sales'!G11*1000</f>
        <v>14495227.4</v>
      </c>
      <c r="H19" s="31">
        <f>'WP 1.2 Forecast Sales'!H11*1000</f>
        <v>18579562.699999999</v>
      </c>
      <c r="I19" s="241" t="s">
        <v>139</v>
      </c>
      <c r="J19" s="264">
        <f t="shared" si="1"/>
        <v>9</v>
      </c>
    </row>
    <row r="20" spans="1:10" ht="15.5" x14ac:dyDescent="0.35">
      <c r="A20" s="263">
        <f t="shared" si="0"/>
        <v>10</v>
      </c>
      <c r="B20" s="11"/>
      <c r="C20" s="31"/>
      <c r="D20" s="31"/>
      <c r="E20" s="31"/>
      <c r="F20" s="31"/>
      <c r="G20" s="31"/>
      <c r="H20" s="31"/>
      <c r="I20" s="402"/>
      <c r="J20" s="264">
        <f t="shared" si="1"/>
        <v>10</v>
      </c>
    </row>
    <row r="21" spans="1:10" ht="15.5" x14ac:dyDescent="0.35">
      <c r="A21" s="263">
        <f t="shared" si="0"/>
        <v>11</v>
      </c>
      <c r="B21" s="11" t="s">
        <v>140</v>
      </c>
      <c r="C21" s="38">
        <f>'WP 1.2 Forecast Sales'!C12*1000</f>
        <v>5619369.7000000002</v>
      </c>
      <c r="D21" s="38">
        <f>'WP 1.2 Forecast Sales'!D12*1000</f>
        <v>7739584.3000000007</v>
      </c>
      <c r="E21" s="38">
        <f>'WP 1.2 Forecast Sales'!E12*1000</f>
        <v>6245443.2999999998</v>
      </c>
      <c r="F21" s="38">
        <f>'WP 1.2 Forecast Sales'!F12*1000</f>
        <v>6712924.6999999993</v>
      </c>
      <c r="G21" s="38">
        <f>'WP 1.2 Forecast Sales'!G12*1000</f>
        <v>6627047.8000000007</v>
      </c>
      <c r="H21" s="38">
        <f>'WP 1.2 Forecast Sales'!H12*1000</f>
        <v>6680010.4000000004</v>
      </c>
      <c r="I21" s="241" t="s">
        <v>141</v>
      </c>
      <c r="J21" s="264">
        <f t="shared" si="1"/>
        <v>11</v>
      </c>
    </row>
    <row r="22" spans="1:10" ht="15.5" x14ac:dyDescent="0.35">
      <c r="A22" s="263">
        <f t="shared" si="0"/>
        <v>12</v>
      </c>
      <c r="B22" s="11"/>
      <c r="C22" s="31"/>
      <c r="D22" s="31"/>
      <c r="E22" s="31"/>
      <c r="F22" s="31"/>
      <c r="G22" s="31"/>
      <c r="H22" s="31"/>
      <c r="I22" s="162"/>
      <c r="J22" s="264">
        <f t="shared" si="1"/>
        <v>12</v>
      </c>
    </row>
    <row r="23" spans="1:10" ht="16" thickBot="1" x14ac:dyDescent="0.4">
      <c r="A23" s="263">
        <f t="shared" si="0"/>
        <v>13</v>
      </c>
      <c r="B23" s="11" t="s">
        <v>125</v>
      </c>
      <c r="C23" s="475">
        <f>SUM(C11:C21)</f>
        <v>1439716482.0999999</v>
      </c>
      <c r="D23" s="475">
        <f t="shared" ref="D23:H23" si="2">SUM(D11:D21)</f>
        <v>1320102121.9999998</v>
      </c>
      <c r="E23" s="475">
        <f t="shared" si="2"/>
        <v>1266063164.6000001</v>
      </c>
      <c r="F23" s="475">
        <f t="shared" si="2"/>
        <v>1306502197.3</v>
      </c>
      <c r="G23" s="475">
        <f t="shared" si="2"/>
        <v>1266024373.8000002</v>
      </c>
      <c r="H23" s="475">
        <f t="shared" si="2"/>
        <v>1379660158.8000002</v>
      </c>
      <c r="I23" s="400" t="s">
        <v>142</v>
      </c>
      <c r="J23" s="264">
        <f t="shared" si="1"/>
        <v>13</v>
      </c>
    </row>
    <row r="24" spans="1:10" ht="16.5" thickTop="1" thickBot="1" x14ac:dyDescent="0.4">
      <c r="A24" s="301">
        <f t="shared" si="0"/>
        <v>14</v>
      </c>
      <c r="B24" s="420"/>
      <c r="C24" s="830"/>
      <c r="D24" s="58"/>
      <c r="E24" s="58"/>
      <c r="F24" s="58"/>
      <c r="G24" s="58"/>
      <c r="H24" s="58"/>
      <c r="I24" s="58"/>
      <c r="J24" s="302">
        <f t="shared" si="1"/>
        <v>14</v>
      </c>
    </row>
    <row r="25" spans="1:10" ht="15.5" x14ac:dyDescent="0.35">
      <c r="A25" s="263">
        <f t="shared" si="0"/>
        <v>15</v>
      </c>
      <c r="B25" s="11"/>
      <c r="C25" s="17"/>
      <c r="D25" s="17"/>
      <c r="E25" s="17"/>
      <c r="F25" s="17"/>
      <c r="G25" s="17"/>
      <c r="H25" s="17"/>
      <c r="I25" s="17"/>
      <c r="J25" s="264">
        <f t="shared" si="1"/>
        <v>15</v>
      </c>
    </row>
    <row r="26" spans="1:10" ht="16" thickBot="1" x14ac:dyDescent="0.4">
      <c r="A26" s="301">
        <f>A25+1</f>
        <v>16</v>
      </c>
      <c r="B26" s="420"/>
      <c r="C26" s="57" t="s">
        <v>143</v>
      </c>
      <c r="D26" s="57" t="s">
        <v>143</v>
      </c>
      <c r="E26" s="57" t="s">
        <v>143</v>
      </c>
      <c r="F26" s="57" t="s">
        <v>143</v>
      </c>
      <c r="G26" s="57" t="s">
        <v>143</v>
      </c>
      <c r="H26" s="57" t="s">
        <v>143</v>
      </c>
      <c r="I26" s="57"/>
      <c r="J26" s="302">
        <f>J25+1</f>
        <v>16</v>
      </c>
    </row>
    <row r="27" spans="1:10" ht="15.5" x14ac:dyDescent="0.35">
      <c r="A27" s="263">
        <f t="shared" si="0"/>
        <v>17</v>
      </c>
      <c r="B27" s="11"/>
      <c r="C27" s="75"/>
      <c r="D27" s="10"/>
      <c r="E27" s="10"/>
      <c r="F27" s="10"/>
      <c r="G27" s="10"/>
      <c r="H27" s="10"/>
      <c r="I27" s="10"/>
      <c r="J27" s="264">
        <f t="shared" si="1"/>
        <v>17</v>
      </c>
    </row>
    <row r="28" spans="1:10" ht="15.5" x14ac:dyDescent="0.35">
      <c r="A28" s="263">
        <f t="shared" si="0"/>
        <v>18</v>
      </c>
      <c r="B28" s="11" t="s">
        <v>144</v>
      </c>
      <c r="C28" s="385">
        <f>('Stmnt BL (Retail) - TRBAA'!C36)</f>
        <v>-2.4199999999999998E-3</v>
      </c>
      <c r="D28" s="385">
        <f>$C28</f>
        <v>-2.4199999999999998E-3</v>
      </c>
      <c r="E28" s="385">
        <f>$C28</f>
        <v>-2.4199999999999998E-3</v>
      </c>
      <c r="F28" s="385">
        <f>$C28</f>
        <v>-2.4199999999999998E-3</v>
      </c>
      <c r="G28" s="385">
        <f>$C28</f>
        <v>-2.4199999999999998E-3</v>
      </c>
      <c r="H28" s="385">
        <f>$C28</f>
        <v>-2.4199999999999998E-3</v>
      </c>
      <c r="I28" s="403" t="s">
        <v>145</v>
      </c>
      <c r="J28" s="264">
        <f t="shared" si="1"/>
        <v>18</v>
      </c>
    </row>
    <row r="29" spans="1:10" ht="16" thickBot="1" x14ac:dyDescent="0.4">
      <c r="A29" s="301">
        <f>A28+1</f>
        <v>19</v>
      </c>
      <c r="B29" s="420"/>
      <c r="C29" s="58"/>
      <c r="D29" s="58"/>
      <c r="E29" s="58"/>
      <c r="F29" s="58"/>
      <c r="G29" s="58"/>
      <c r="H29" s="58"/>
      <c r="I29" s="58"/>
      <c r="J29" s="302">
        <f>J28+1</f>
        <v>19</v>
      </c>
    </row>
    <row r="30" spans="1:10" ht="15.5" x14ac:dyDescent="0.35">
      <c r="A30" s="263">
        <f t="shared" si="0"/>
        <v>20</v>
      </c>
      <c r="B30" s="11"/>
      <c r="C30" s="17"/>
      <c r="D30" s="17"/>
      <c r="E30" s="17"/>
      <c r="F30" s="17"/>
      <c r="G30" s="17"/>
      <c r="H30" s="17"/>
      <c r="I30" s="17"/>
      <c r="J30" s="264">
        <f t="shared" si="1"/>
        <v>20</v>
      </c>
    </row>
    <row r="31" spans="1:10" ht="34.5" customHeight="1" thickBot="1" x14ac:dyDescent="0.4">
      <c r="A31" s="301">
        <f t="shared" si="0"/>
        <v>21</v>
      </c>
      <c r="B31" s="420"/>
      <c r="C31" s="404" t="s">
        <v>146</v>
      </c>
      <c r="D31" s="404" t="s">
        <v>146</v>
      </c>
      <c r="E31" s="404" t="s">
        <v>146</v>
      </c>
      <c r="F31" s="404" t="s">
        <v>146</v>
      </c>
      <c r="G31" s="404" t="s">
        <v>146</v>
      </c>
      <c r="H31" s="404" t="s">
        <v>146</v>
      </c>
      <c r="I31" s="57"/>
      <c r="J31" s="302">
        <f t="shared" si="1"/>
        <v>21</v>
      </c>
    </row>
    <row r="32" spans="1:10" ht="15.5" x14ac:dyDescent="0.35">
      <c r="A32" s="263">
        <f t="shared" si="0"/>
        <v>22</v>
      </c>
      <c r="B32" s="11"/>
      <c r="C32" s="10"/>
      <c r="D32" s="10"/>
      <c r="E32" s="10"/>
      <c r="F32" s="10"/>
      <c r="G32" s="10"/>
      <c r="H32" s="10"/>
      <c r="I32" s="74"/>
      <c r="J32" s="264">
        <f t="shared" si="1"/>
        <v>22</v>
      </c>
    </row>
    <row r="33" spans="1:10" ht="15.5" x14ac:dyDescent="0.35">
      <c r="A33" s="263">
        <f t="shared" si="0"/>
        <v>23</v>
      </c>
      <c r="B33" s="11" t="s">
        <v>94</v>
      </c>
      <c r="C33" s="141">
        <f>C11*C$28</f>
        <v>-1380445.82357</v>
      </c>
      <c r="D33" s="141">
        <f t="shared" ref="D33:H33" si="3">D11*D$28</f>
        <v>-1162781.117542</v>
      </c>
      <c r="E33" s="141">
        <f t="shared" si="3"/>
        <v>-1100658.9455619999</v>
      </c>
      <c r="F33" s="141">
        <f t="shared" si="3"/>
        <v>-996934.36820999999</v>
      </c>
      <c r="G33" s="141">
        <f t="shared" si="3"/>
        <v>-1003216.3956319999</v>
      </c>
      <c r="H33" s="141">
        <f t="shared" si="3"/>
        <v>-1051522.0829079999</v>
      </c>
      <c r="I33" s="26" t="s">
        <v>147</v>
      </c>
      <c r="J33" s="264">
        <f t="shared" si="1"/>
        <v>23</v>
      </c>
    </row>
    <row r="34" spans="1:10" ht="15.5" x14ac:dyDescent="0.35">
      <c r="A34" s="263">
        <f t="shared" si="0"/>
        <v>24</v>
      </c>
      <c r="B34" s="11"/>
      <c r="C34" s="399"/>
      <c r="D34" s="399"/>
      <c r="E34" s="399"/>
      <c r="F34" s="399"/>
      <c r="G34" s="399"/>
      <c r="H34" s="399"/>
      <c r="I34" s="405"/>
      <c r="J34" s="264">
        <f t="shared" si="1"/>
        <v>24</v>
      </c>
    </row>
    <row r="35" spans="1:10" ht="15.5" x14ac:dyDescent="0.35">
      <c r="A35" s="263">
        <f t="shared" si="0"/>
        <v>25</v>
      </c>
      <c r="B35" s="11" t="s">
        <v>135</v>
      </c>
      <c r="C35" s="44">
        <f>C13*C$28</f>
        <v>-381831.38657399995</v>
      </c>
      <c r="D35" s="44">
        <f t="shared" ref="D35:H35" si="4">D13*D$28</f>
        <v>-358924.87633200001</v>
      </c>
      <c r="E35" s="44">
        <f t="shared" si="4"/>
        <v>-370148.62240400002</v>
      </c>
      <c r="F35" s="44">
        <f t="shared" si="4"/>
        <v>-362266.06602999999</v>
      </c>
      <c r="G35" s="44">
        <f t="shared" si="4"/>
        <v>-369749.02909999999</v>
      </c>
      <c r="H35" s="44">
        <f t="shared" si="4"/>
        <v>-399365.27441800002</v>
      </c>
      <c r="I35" s="26" t="s">
        <v>148</v>
      </c>
      <c r="J35" s="264">
        <f t="shared" si="1"/>
        <v>25</v>
      </c>
    </row>
    <row r="36" spans="1:10" ht="15.5" x14ac:dyDescent="0.35">
      <c r="A36" s="263">
        <f t="shared" si="0"/>
        <v>26</v>
      </c>
      <c r="B36" s="386"/>
      <c r="C36" s="394"/>
      <c r="D36" s="394"/>
      <c r="E36" s="394"/>
      <c r="F36" s="394"/>
      <c r="G36" s="394"/>
      <c r="H36" s="394"/>
      <c r="I36" s="26"/>
      <c r="J36" s="264">
        <f t="shared" si="1"/>
        <v>26</v>
      </c>
    </row>
    <row r="37" spans="1:10" ht="15.5" x14ac:dyDescent="0.35">
      <c r="A37" s="263">
        <f t="shared" si="0"/>
        <v>27</v>
      </c>
      <c r="B37" s="17" t="s">
        <v>100</v>
      </c>
      <c r="C37" s="44">
        <f>C15*C$28</f>
        <v>-1659848.2337579997</v>
      </c>
      <c r="D37" s="44">
        <f t="shared" ref="D37:H37" si="5">D15*D$28</f>
        <v>-1605344.2396859997</v>
      </c>
      <c r="E37" s="44">
        <f t="shared" si="5"/>
        <v>-1526295.938662</v>
      </c>
      <c r="F37" s="44">
        <f t="shared" si="5"/>
        <v>-1736112.3167959999</v>
      </c>
      <c r="G37" s="44">
        <f t="shared" si="5"/>
        <v>-1614254.327334</v>
      </c>
      <c r="H37" s="44">
        <f t="shared" si="5"/>
        <v>-1795415.188534</v>
      </c>
      <c r="I37" s="26" t="s">
        <v>149</v>
      </c>
      <c r="J37" s="264">
        <f t="shared" si="1"/>
        <v>27</v>
      </c>
    </row>
    <row r="38" spans="1:10" ht="15.5" x14ac:dyDescent="0.35">
      <c r="A38" s="263">
        <f t="shared" si="0"/>
        <v>28</v>
      </c>
      <c r="B38" s="11"/>
      <c r="C38" s="44"/>
      <c r="D38" s="44"/>
      <c r="E38" s="44"/>
      <c r="F38" s="44"/>
      <c r="G38" s="44"/>
      <c r="H38" s="44"/>
      <c r="I38" s="26"/>
      <c r="J38" s="264">
        <f t="shared" si="1"/>
        <v>28</v>
      </c>
    </row>
    <row r="39" spans="1:10" ht="15.5" x14ac:dyDescent="0.35">
      <c r="A39" s="263">
        <f t="shared" si="0"/>
        <v>29</v>
      </c>
      <c r="B39" s="11" t="s">
        <v>103</v>
      </c>
      <c r="C39" s="44">
        <f>C17*C$28</f>
        <v>-19079.985914000001</v>
      </c>
      <c r="D39" s="44">
        <f t="shared" ref="D39:H39" si="6">D17*D$28</f>
        <v>-20035.921971999996</v>
      </c>
      <c r="E39" s="44">
        <f t="shared" si="6"/>
        <v>-19322.562599999997</v>
      </c>
      <c r="F39" s="44">
        <f t="shared" si="6"/>
        <v>-20949.144546</v>
      </c>
      <c r="G39" s="44">
        <f t="shared" si="6"/>
        <v>-25443.326546</v>
      </c>
      <c r="H39" s="44">
        <f t="shared" si="6"/>
        <v>-31346.871533999994</v>
      </c>
      <c r="I39" s="26" t="s">
        <v>150</v>
      </c>
      <c r="J39" s="264">
        <f t="shared" si="1"/>
        <v>29</v>
      </c>
    </row>
    <row r="40" spans="1:10" ht="15.5" x14ac:dyDescent="0.35">
      <c r="A40" s="263">
        <f t="shared" si="0"/>
        <v>30</v>
      </c>
      <c r="B40" s="11"/>
      <c r="C40" s="44"/>
      <c r="D40" s="44"/>
      <c r="E40" s="44"/>
      <c r="F40" s="44"/>
      <c r="G40" s="44"/>
      <c r="H40" s="44"/>
      <c r="I40" s="26"/>
      <c r="J40" s="264">
        <f t="shared" si="1"/>
        <v>30</v>
      </c>
    </row>
    <row r="41" spans="1:10" ht="15.5" x14ac:dyDescent="0.35">
      <c r="A41" s="263">
        <f t="shared" si="0"/>
        <v>31</v>
      </c>
      <c r="B41" s="11" t="s">
        <v>106</v>
      </c>
      <c r="C41" s="44">
        <f>C19*C$28</f>
        <v>-29309.582191999998</v>
      </c>
      <c r="D41" s="44">
        <f t="shared" ref="D41:H41" si="7">D19*D$28</f>
        <v>-28831.185702000002</v>
      </c>
      <c r="E41" s="44">
        <f t="shared" si="7"/>
        <v>-32332.816317999997</v>
      </c>
      <c r="F41" s="44">
        <f t="shared" si="7"/>
        <v>-29228.144109999997</v>
      </c>
      <c r="G41" s="44">
        <f t="shared" si="7"/>
        <v>-35078.450307999999</v>
      </c>
      <c r="H41" s="44">
        <f t="shared" si="7"/>
        <v>-44962.541733999999</v>
      </c>
      <c r="I41" s="26" t="s">
        <v>151</v>
      </c>
      <c r="J41" s="264">
        <f t="shared" si="1"/>
        <v>31</v>
      </c>
    </row>
    <row r="42" spans="1:10" ht="15.5" x14ac:dyDescent="0.35">
      <c r="A42" s="263">
        <f t="shared" si="0"/>
        <v>32</v>
      </c>
      <c r="B42" s="11"/>
      <c r="C42" s="44"/>
      <c r="D42" s="44"/>
      <c r="E42" s="44"/>
      <c r="F42" s="44"/>
      <c r="G42" s="44"/>
      <c r="H42" s="44"/>
      <c r="I42" s="26"/>
      <c r="J42" s="264">
        <f t="shared" si="1"/>
        <v>32</v>
      </c>
    </row>
    <row r="43" spans="1:10" ht="15.5" x14ac:dyDescent="0.35">
      <c r="A43" s="263">
        <f t="shared" si="0"/>
        <v>33</v>
      </c>
      <c r="B43" s="11" t="s">
        <v>140</v>
      </c>
      <c r="C43" s="51">
        <f>C21*C$28</f>
        <v>-13598.874673999999</v>
      </c>
      <c r="D43" s="51">
        <f t="shared" ref="D43:H43" si="8">D21*D$28</f>
        <v>-18729.794006</v>
      </c>
      <c r="E43" s="51">
        <f t="shared" si="8"/>
        <v>-15113.972785999998</v>
      </c>
      <c r="F43" s="51">
        <f t="shared" si="8"/>
        <v>-16245.277773999996</v>
      </c>
      <c r="G43" s="51">
        <f t="shared" si="8"/>
        <v>-16037.455676000001</v>
      </c>
      <c r="H43" s="51">
        <f t="shared" si="8"/>
        <v>-16165.625168</v>
      </c>
      <c r="I43" s="26" t="s">
        <v>152</v>
      </c>
      <c r="J43" s="264">
        <f t="shared" si="1"/>
        <v>33</v>
      </c>
    </row>
    <row r="44" spans="1:10" ht="15.5" x14ac:dyDescent="0.35">
      <c r="A44" s="263">
        <f t="shared" si="0"/>
        <v>34</v>
      </c>
      <c r="B44" s="11"/>
      <c r="C44" s="141"/>
      <c r="D44" s="141"/>
      <c r="E44" s="141"/>
      <c r="F44" s="141"/>
      <c r="G44" s="141"/>
      <c r="H44" s="141"/>
      <c r="I44" s="26"/>
      <c r="J44" s="264">
        <f t="shared" si="1"/>
        <v>34</v>
      </c>
    </row>
    <row r="45" spans="1:10" ht="16" thickBot="1" x14ac:dyDescent="0.4">
      <c r="A45" s="263">
        <f t="shared" si="0"/>
        <v>35</v>
      </c>
      <c r="B45" s="11" t="s">
        <v>125</v>
      </c>
      <c r="C45" s="513">
        <f>SUM(C33:C43)</f>
        <v>-3484113.8866819995</v>
      </c>
      <c r="D45" s="513">
        <f t="shared" ref="D45:H45" si="9">SUM(D33:D43)</f>
        <v>-3194647.1352399993</v>
      </c>
      <c r="E45" s="513">
        <f t="shared" si="9"/>
        <v>-3063872.8583320002</v>
      </c>
      <c r="F45" s="513">
        <f t="shared" si="9"/>
        <v>-3161735.3174659996</v>
      </c>
      <c r="G45" s="513">
        <f t="shared" si="9"/>
        <v>-3063778.9845960001</v>
      </c>
      <c r="H45" s="513">
        <f t="shared" si="9"/>
        <v>-3338777.5842960002</v>
      </c>
      <c r="I45" s="406" t="s">
        <v>153</v>
      </c>
      <c r="J45" s="264">
        <f t="shared" si="1"/>
        <v>35</v>
      </c>
    </row>
    <row r="46" spans="1:10" ht="16.5" thickTop="1" thickBot="1" x14ac:dyDescent="0.4">
      <c r="A46" s="301"/>
      <c r="B46" s="81"/>
      <c r="C46" s="830"/>
      <c r="D46" s="58"/>
      <c r="E46" s="58"/>
      <c r="F46" s="58"/>
      <c r="G46" s="58"/>
      <c r="H46" s="58"/>
      <c r="I46" s="58"/>
      <c r="J46" s="407"/>
    </row>
    <row r="47" spans="1:10" ht="15.5" x14ac:dyDescent="0.35">
      <c r="A47" s="37"/>
      <c r="B47" s="391"/>
      <c r="C47" s="22"/>
      <c r="D47" s="22"/>
      <c r="E47" s="22"/>
      <c r="F47" s="22"/>
      <c r="G47" s="22"/>
      <c r="H47" s="22"/>
      <c r="I47" s="22"/>
      <c r="J47" s="22"/>
    </row>
    <row r="48" spans="1:10" ht="18.5" x14ac:dyDescent="0.35">
      <c r="A48" s="69"/>
      <c r="B48" s="22"/>
      <c r="C48" s="22"/>
      <c r="D48" s="22"/>
      <c r="E48" s="22"/>
      <c r="F48" s="22"/>
      <c r="G48" s="22"/>
      <c r="H48" s="22"/>
      <c r="I48" s="22"/>
      <c r="J48" s="22"/>
    </row>
    <row r="49" spans="1:10" ht="15.5" x14ac:dyDescent="0.35">
      <c r="A49" s="831"/>
      <c r="B49" s="22"/>
      <c r="C49" s="22"/>
      <c r="D49" s="22"/>
      <c r="E49" s="22"/>
      <c r="F49" s="22"/>
      <c r="G49" s="22"/>
      <c r="H49" s="22"/>
      <c r="I49" s="22"/>
      <c r="J49" s="22"/>
    </row>
    <row r="50" spans="1:10" ht="15.5" x14ac:dyDescent="0.35">
      <c r="A50" s="831"/>
      <c r="B50" s="22"/>
      <c r="C50" s="22"/>
      <c r="D50" s="22"/>
      <c r="E50" s="22"/>
      <c r="F50" s="22"/>
      <c r="G50" s="22"/>
      <c r="H50" s="22"/>
      <c r="I50" s="22"/>
      <c r="J50" s="22"/>
    </row>
    <row r="51" spans="1:10" ht="15.5" x14ac:dyDescent="0.35">
      <c r="A51" s="37"/>
      <c r="B51" s="22"/>
      <c r="C51" s="22"/>
      <c r="D51" s="22"/>
      <c r="E51" s="22"/>
      <c r="F51" s="22"/>
      <c r="G51" s="22"/>
      <c r="H51" s="22"/>
      <c r="I51" s="22"/>
      <c r="J51" s="22"/>
    </row>
    <row r="52" spans="1:10" ht="15.5" x14ac:dyDescent="0.35">
      <c r="A52" s="37"/>
      <c r="B52" s="22"/>
      <c r="C52" s="22"/>
      <c r="D52" s="22"/>
      <c r="E52" s="22"/>
      <c r="F52" s="22"/>
      <c r="G52" s="22"/>
      <c r="H52" s="22"/>
      <c r="I52" s="22"/>
      <c r="J52" s="22"/>
    </row>
    <row r="53" spans="1:10" ht="15.5" x14ac:dyDescent="0.35">
      <c r="A53" s="37"/>
      <c r="B53" s="22"/>
      <c r="C53" s="22"/>
      <c r="D53" s="22"/>
      <c r="E53" s="22"/>
      <c r="F53" s="22"/>
      <c r="G53" s="22"/>
      <c r="H53" s="22"/>
      <c r="I53" s="22"/>
      <c r="J53" s="22"/>
    </row>
    <row r="54" spans="1:10" ht="15.5" x14ac:dyDescent="0.35">
      <c r="A54" s="37"/>
      <c r="B54" s="22"/>
      <c r="C54" s="22"/>
      <c r="D54" s="22"/>
      <c r="E54" s="22"/>
      <c r="F54" s="22"/>
      <c r="G54" s="22"/>
      <c r="H54" s="22"/>
      <c r="I54" s="22"/>
      <c r="J54" s="22"/>
    </row>
    <row r="55" spans="1:10" ht="15.5" x14ac:dyDescent="0.35">
      <c r="A55" s="37"/>
      <c r="B55" s="22"/>
      <c r="C55" s="22"/>
      <c r="D55" s="22"/>
      <c r="E55" s="22"/>
      <c r="F55" s="22"/>
      <c r="G55" s="22"/>
      <c r="H55" s="22"/>
      <c r="I55" s="22"/>
      <c r="J55" s="22"/>
    </row>
    <row r="56" spans="1:10" ht="15.5" x14ac:dyDescent="0.35">
      <c r="A56" s="37"/>
      <c r="B56" s="22"/>
      <c r="C56" s="22"/>
      <c r="D56" s="22"/>
      <c r="E56" s="22"/>
      <c r="F56" s="22"/>
      <c r="G56" s="22"/>
      <c r="H56" s="22"/>
      <c r="I56" s="22"/>
      <c r="J56" s="22"/>
    </row>
    <row r="57" spans="1:10" ht="15.5" x14ac:dyDescent="0.35">
      <c r="A57" s="37"/>
      <c r="B57" s="22"/>
      <c r="C57" s="22"/>
      <c r="D57" s="22"/>
      <c r="E57" s="22"/>
      <c r="F57" s="22"/>
      <c r="G57" s="22"/>
      <c r="H57" s="22"/>
      <c r="I57" s="22"/>
      <c r="J57" s="22"/>
    </row>
    <row r="58" spans="1:10" ht="15.5" x14ac:dyDescent="0.35">
      <c r="A58" s="37"/>
      <c r="B58" s="22"/>
      <c r="C58" s="22"/>
      <c r="D58" s="22"/>
      <c r="E58" s="22"/>
      <c r="F58" s="22"/>
      <c r="G58" s="22"/>
      <c r="H58" s="22"/>
      <c r="I58" s="22"/>
      <c r="J58" s="22"/>
    </row>
    <row r="59" spans="1:10" ht="15.5" x14ac:dyDescent="0.35">
      <c r="A59" s="37"/>
      <c r="B59" s="22"/>
      <c r="C59" s="22"/>
      <c r="D59" s="22"/>
      <c r="E59" s="22"/>
      <c r="F59" s="22"/>
      <c r="G59" s="22"/>
      <c r="H59" s="22"/>
      <c r="I59" s="22"/>
      <c r="J59" s="22"/>
    </row>
    <row r="60" spans="1:10" ht="15.5" x14ac:dyDescent="0.35">
      <c r="A60" s="37"/>
      <c r="B60" s="22"/>
      <c r="C60" s="22"/>
      <c r="D60" s="22"/>
      <c r="E60" s="22"/>
      <c r="F60" s="22"/>
      <c r="G60" s="22"/>
      <c r="H60" s="22"/>
      <c r="I60" s="22"/>
      <c r="J60" s="22"/>
    </row>
    <row r="61" spans="1:10" ht="15.5" x14ac:dyDescent="0.35">
      <c r="A61" s="37"/>
      <c r="B61" s="22"/>
      <c r="C61" s="22"/>
      <c r="D61" s="22"/>
      <c r="E61" s="22"/>
      <c r="F61" s="22"/>
      <c r="G61" s="22"/>
      <c r="H61" s="22"/>
      <c r="I61" s="22"/>
      <c r="J61" s="22"/>
    </row>
    <row r="62" spans="1:10" ht="15.5" x14ac:dyDescent="0.35">
      <c r="A62" s="37"/>
      <c r="B62" s="22"/>
      <c r="C62" s="22"/>
      <c r="D62" s="22"/>
      <c r="E62" s="22"/>
      <c r="F62" s="22"/>
      <c r="G62" s="22"/>
      <c r="H62" s="22"/>
      <c r="I62" s="22"/>
      <c r="J62" s="22"/>
    </row>
    <row r="63" spans="1:10" ht="15.5" x14ac:dyDescent="0.35">
      <c r="A63" s="37"/>
      <c r="B63" s="22"/>
      <c r="C63" s="22"/>
      <c r="D63" s="22"/>
      <c r="E63" s="22"/>
      <c r="F63" s="22"/>
      <c r="G63" s="22"/>
      <c r="H63" s="22"/>
      <c r="I63" s="22"/>
      <c r="J63" s="22"/>
    </row>
    <row r="64" spans="1:10" ht="15.5" x14ac:dyDescent="0.35">
      <c r="A64" s="37"/>
      <c r="B64" s="22"/>
      <c r="C64" s="22"/>
      <c r="D64" s="22"/>
      <c r="E64" s="22"/>
      <c r="F64" s="22"/>
      <c r="G64" s="22"/>
      <c r="H64" s="22"/>
      <c r="I64" s="22"/>
      <c r="J64" s="22"/>
    </row>
    <row r="65" spans="1:10" ht="15.5" x14ac:dyDescent="0.35">
      <c r="A65" s="37"/>
      <c r="B65" s="22"/>
      <c r="C65" s="22"/>
      <c r="D65" s="22"/>
      <c r="E65" s="22"/>
      <c r="F65" s="22"/>
      <c r="G65" s="22"/>
      <c r="H65" s="22"/>
      <c r="I65" s="22"/>
      <c r="J65" s="22"/>
    </row>
    <row r="66" spans="1:10" ht="15.5" x14ac:dyDescent="0.35">
      <c r="A66" s="37"/>
      <c r="B66" s="22"/>
      <c r="C66" s="22"/>
      <c r="D66" s="22"/>
      <c r="E66" s="22"/>
      <c r="F66" s="22"/>
      <c r="G66" s="22"/>
      <c r="H66" s="22"/>
      <c r="I66" s="22"/>
      <c r="J66" s="22"/>
    </row>
    <row r="67" spans="1:10" ht="15.5" x14ac:dyDescent="0.35">
      <c r="A67" s="37"/>
      <c r="B67" s="22"/>
      <c r="C67" s="22"/>
      <c r="D67" s="22"/>
      <c r="E67" s="22"/>
      <c r="F67" s="22"/>
      <c r="G67" s="22"/>
      <c r="H67" s="22"/>
      <c r="I67" s="22"/>
      <c r="J67" s="22"/>
    </row>
    <row r="68" spans="1:10" ht="15.5" x14ac:dyDescent="0.35">
      <c r="A68" s="37"/>
      <c r="B68" s="22"/>
      <c r="C68" s="22"/>
      <c r="D68" s="22"/>
      <c r="E68" s="22"/>
      <c r="F68" s="22"/>
      <c r="G68" s="22"/>
      <c r="H68" s="22"/>
      <c r="I68" s="22"/>
      <c r="J68" s="22"/>
    </row>
    <row r="69" spans="1:10" ht="15.5" x14ac:dyDescent="0.35">
      <c r="A69" s="37"/>
      <c r="B69" s="22"/>
      <c r="C69" s="22"/>
      <c r="D69" s="22"/>
      <c r="E69" s="22"/>
      <c r="F69" s="22"/>
      <c r="G69" s="22"/>
      <c r="H69" s="22"/>
      <c r="I69" s="22"/>
      <c r="J69" s="22"/>
    </row>
    <row r="70" spans="1:10" ht="15.5" x14ac:dyDescent="0.35">
      <c r="A70" s="37"/>
      <c r="B70" s="22"/>
      <c r="C70" s="22"/>
      <c r="D70" s="22"/>
      <c r="E70" s="22"/>
      <c r="F70" s="22"/>
      <c r="G70" s="22"/>
      <c r="H70" s="22"/>
      <c r="I70" s="22"/>
      <c r="J70" s="22"/>
    </row>
    <row r="71" spans="1:10" ht="15.5" x14ac:dyDescent="0.35">
      <c r="A71" s="37"/>
      <c r="B71" s="22"/>
      <c r="C71" s="22"/>
      <c r="D71" s="22"/>
      <c r="E71" s="22"/>
      <c r="F71" s="22"/>
      <c r="G71" s="22"/>
      <c r="H71" s="22"/>
      <c r="I71" s="22"/>
      <c r="J71" s="22"/>
    </row>
    <row r="72" spans="1:10" ht="15.5" x14ac:dyDescent="0.35">
      <c r="A72" s="37"/>
      <c r="B72" s="22"/>
      <c r="C72" s="22"/>
      <c r="D72" s="22"/>
      <c r="E72" s="22"/>
      <c r="F72" s="22"/>
      <c r="G72" s="22"/>
      <c r="H72" s="22"/>
      <c r="I72" s="22"/>
      <c r="J72" s="22"/>
    </row>
    <row r="73" spans="1:10" ht="15.5" x14ac:dyDescent="0.35">
      <c r="A73" s="37"/>
      <c r="B73" s="22"/>
      <c r="C73" s="22"/>
      <c r="D73" s="22"/>
      <c r="E73" s="22"/>
      <c r="F73" s="22"/>
      <c r="G73" s="22"/>
      <c r="H73" s="22"/>
      <c r="I73" s="22"/>
      <c r="J73" s="22"/>
    </row>
    <row r="74" spans="1:10" ht="15.5" x14ac:dyDescent="0.35">
      <c r="A74" s="37"/>
      <c r="B74" s="22"/>
      <c r="C74" s="22"/>
      <c r="D74" s="22"/>
      <c r="E74" s="22"/>
      <c r="F74" s="22"/>
      <c r="G74" s="22"/>
      <c r="H74" s="22"/>
      <c r="I74" s="22"/>
      <c r="J74" s="22"/>
    </row>
    <row r="75" spans="1:10" ht="15.5" x14ac:dyDescent="0.35">
      <c r="A75" s="37"/>
      <c r="B75" s="22"/>
      <c r="C75" s="22"/>
      <c r="D75" s="22"/>
      <c r="E75" s="22"/>
      <c r="F75" s="22"/>
      <c r="G75" s="22"/>
      <c r="H75" s="22"/>
      <c r="I75" s="22"/>
      <c r="J75" s="22"/>
    </row>
    <row r="76" spans="1:10" ht="15.5" x14ac:dyDescent="0.35">
      <c r="A76" s="37"/>
      <c r="B76" s="22"/>
      <c r="C76" s="22"/>
      <c r="D76" s="22"/>
      <c r="E76" s="22"/>
      <c r="F76" s="22"/>
      <c r="G76" s="22"/>
      <c r="H76" s="22"/>
      <c r="I76" s="22"/>
      <c r="J76" s="22"/>
    </row>
    <row r="77" spans="1:10" ht="15.5" x14ac:dyDescent="0.35">
      <c r="A77" s="37"/>
      <c r="B77" s="22"/>
      <c r="C77" s="22"/>
      <c r="D77" s="22"/>
      <c r="E77" s="22"/>
      <c r="F77" s="22"/>
      <c r="G77" s="22"/>
      <c r="H77" s="22"/>
      <c r="I77" s="22"/>
      <c r="J77" s="22"/>
    </row>
    <row r="78" spans="1:10" ht="15.5" x14ac:dyDescent="0.35">
      <c r="A78" s="37"/>
      <c r="B78" s="22"/>
      <c r="C78" s="22"/>
      <c r="D78" s="22"/>
      <c r="E78" s="22"/>
      <c r="F78" s="22"/>
      <c r="G78" s="22"/>
      <c r="H78" s="22"/>
      <c r="I78" s="22"/>
      <c r="J78" s="22"/>
    </row>
    <row r="79" spans="1:10" x14ac:dyDescent="0.25">
      <c r="A79" s="831"/>
    </row>
    <row r="80" spans="1:10" x14ac:dyDescent="0.25">
      <c r="A80" s="831"/>
    </row>
    <row r="81" spans="1:1" x14ac:dyDescent="0.25">
      <c r="A81" s="831"/>
    </row>
    <row r="82" spans="1:1" x14ac:dyDescent="0.25">
      <c r="A82" s="831"/>
    </row>
    <row r="83" spans="1:1" x14ac:dyDescent="0.25">
      <c r="A83" s="831"/>
    </row>
    <row r="84" spans="1:1" x14ac:dyDescent="0.25">
      <c r="A84" s="831"/>
    </row>
    <row r="85" spans="1:1" x14ac:dyDescent="0.25">
      <c r="A85" s="831"/>
    </row>
    <row r="86" spans="1:1" x14ac:dyDescent="0.25">
      <c r="A86" s="831"/>
    </row>
    <row r="87" spans="1:1" x14ac:dyDescent="0.25">
      <c r="A87" s="831"/>
    </row>
    <row r="88" spans="1:1" x14ac:dyDescent="0.25">
      <c r="A88" s="831"/>
    </row>
    <row r="89" spans="1:1" x14ac:dyDescent="0.25">
      <c r="A89" s="831"/>
    </row>
    <row r="90" spans="1:1" x14ac:dyDescent="0.25">
      <c r="A90" s="831"/>
    </row>
    <row r="91" spans="1:1" x14ac:dyDescent="0.25">
      <c r="A91" s="831"/>
    </row>
    <row r="92" spans="1:1" x14ac:dyDescent="0.25">
      <c r="A92" s="831"/>
    </row>
    <row r="93" spans="1:1" x14ac:dyDescent="0.25">
      <c r="A93" s="831"/>
    </row>
    <row r="94" spans="1:1" x14ac:dyDescent="0.25">
      <c r="A94" s="831"/>
    </row>
    <row r="95" spans="1:1" x14ac:dyDescent="0.25">
      <c r="A95" s="831"/>
    </row>
    <row r="96" spans="1:1" x14ac:dyDescent="0.25">
      <c r="A96" s="831"/>
    </row>
    <row r="97" spans="1:1" x14ac:dyDescent="0.25">
      <c r="A97" s="831"/>
    </row>
    <row r="98" spans="1:1" x14ac:dyDescent="0.25">
      <c r="A98" s="831"/>
    </row>
    <row r="99" spans="1:1" x14ac:dyDescent="0.25">
      <c r="A99" s="831"/>
    </row>
    <row r="100" spans="1:1" x14ac:dyDescent="0.25">
      <c r="A100" s="831"/>
    </row>
    <row r="101" spans="1:1" x14ac:dyDescent="0.25">
      <c r="A101" s="831"/>
    </row>
    <row r="102" spans="1:1" x14ac:dyDescent="0.25">
      <c r="A102" s="831"/>
    </row>
    <row r="103" spans="1:1" x14ac:dyDescent="0.25">
      <c r="A103" s="831"/>
    </row>
    <row r="104" spans="1:1" x14ac:dyDescent="0.25">
      <c r="A104" s="831"/>
    </row>
    <row r="105" spans="1:1" x14ac:dyDescent="0.25">
      <c r="A105" s="831"/>
    </row>
    <row r="106" spans="1:1" x14ac:dyDescent="0.25">
      <c r="A106" s="831"/>
    </row>
    <row r="107" spans="1:1" x14ac:dyDescent="0.25">
      <c r="A107" s="831"/>
    </row>
    <row r="108" spans="1:1" x14ac:dyDescent="0.25">
      <c r="A108" s="831"/>
    </row>
    <row r="109" spans="1:1" x14ac:dyDescent="0.25">
      <c r="A109" s="831"/>
    </row>
    <row r="110" spans="1:1" x14ac:dyDescent="0.25">
      <c r="A110" s="831"/>
    </row>
    <row r="111" spans="1:1" x14ac:dyDescent="0.25">
      <c r="A111" s="831"/>
    </row>
    <row r="112" spans="1:1" x14ac:dyDescent="0.25">
      <c r="A112" s="831"/>
    </row>
    <row r="113" spans="1:1" x14ac:dyDescent="0.25">
      <c r="A113" s="831"/>
    </row>
    <row r="114" spans="1:1" x14ac:dyDescent="0.25">
      <c r="A114" s="831"/>
    </row>
    <row r="115" spans="1:1" x14ac:dyDescent="0.25">
      <c r="A115" s="831"/>
    </row>
    <row r="116" spans="1:1" x14ac:dyDescent="0.25">
      <c r="A116" s="831"/>
    </row>
    <row r="117" spans="1:1" x14ac:dyDescent="0.25">
      <c r="A117" s="831"/>
    </row>
    <row r="118" spans="1:1" x14ac:dyDescent="0.25">
      <c r="A118" s="831"/>
    </row>
    <row r="119" spans="1:1" x14ac:dyDescent="0.25">
      <c r="A119" s="831"/>
    </row>
    <row r="120" spans="1:1" x14ac:dyDescent="0.25">
      <c r="A120" s="831"/>
    </row>
    <row r="121" spans="1:1" x14ac:dyDescent="0.25">
      <c r="A121" s="831"/>
    </row>
    <row r="122" spans="1:1" x14ac:dyDescent="0.25">
      <c r="A122" s="831"/>
    </row>
  </sheetData>
  <mergeCells count="1">
    <mergeCell ref="A4:J4"/>
  </mergeCells>
  <printOptions horizontalCentered="1"/>
  <pageMargins left="0.25" right="0.25" top="0.5" bottom="0.5" header="0.25" footer="0.25"/>
  <pageSetup scale="71" orientation="landscape" r:id="rId1"/>
  <headerFooter scaleWithDoc="0" alignWithMargins="0">
    <oddFooter>&amp;L&amp;"Times New Roman,Regular"&amp;F&amp;C&amp;"Times New Roman,Regular"Page 3 of 4&amp;R&amp;"Times New Roman,Regular"&amp;A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K122"/>
  <sheetViews>
    <sheetView zoomScale="80" zoomScaleNormal="80" workbookViewId="0"/>
  </sheetViews>
  <sheetFormatPr defaultColWidth="9.1796875" defaultRowHeight="12.5" x14ac:dyDescent="0.25"/>
  <cols>
    <col min="1" max="1" width="5.54296875" style="243" customWidth="1"/>
    <col min="2" max="2" width="45.54296875" style="243" customWidth="1"/>
    <col min="3" max="8" width="15.54296875" style="243" customWidth="1"/>
    <col min="9" max="9" width="18.54296875" style="243" customWidth="1"/>
    <col min="10" max="10" width="40.54296875" style="243" customWidth="1"/>
    <col min="11" max="11" width="5.54296875" style="243" customWidth="1"/>
    <col min="12" max="16384" width="9.1796875" style="243"/>
  </cols>
  <sheetData>
    <row r="2" spans="1:11" ht="15.5" x14ac:dyDescent="0.25">
      <c r="A2" s="5" t="s">
        <v>81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5.5" x14ac:dyDescent="0.25">
      <c r="A3" s="5" t="s">
        <v>53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5.5" x14ac:dyDescent="0.25">
      <c r="A4" s="5" t="str">
        <f>'Stmt BG - Page 1'!A4</f>
        <v>Transmission Revenue Balancing Account Adjustment (TRBAA) Revenues Data to Reflect Changed Rates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5.5" x14ac:dyDescent="0.25">
      <c r="A5" s="419" t="str">
        <f>'Stmt BG - Page 1'!A6</f>
        <v>Rate Effective Period - Twelve Months Ending December 31, 2023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6" thickBot="1" x14ac:dyDescent="0.4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1" ht="15" x14ac:dyDescent="0.3">
      <c r="A7" s="75"/>
      <c r="B7" s="75"/>
      <c r="C7" s="573" t="s">
        <v>154</v>
      </c>
      <c r="D7" s="573" t="s">
        <v>155</v>
      </c>
      <c r="E7" s="573" t="s">
        <v>156</v>
      </c>
      <c r="F7" s="573" t="s">
        <v>157</v>
      </c>
      <c r="G7" s="573" t="s">
        <v>158</v>
      </c>
      <c r="H7" s="573" t="s">
        <v>159</v>
      </c>
      <c r="I7" s="573" t="s">
        <v>160</v>
      </c>
      <c r="J7" s="573" t="s">
        <v>161</v>
      </c>
      <c r="K7" s="75"/>
    </row>
    <row r="8" spans="1:11" ht="15" x14ac:dyDescent="0.3">
      <c r="A8" s="75" t="s">
        <v>8</v>
      </c>
      <c r="B8" s="75"/>
      <c r="C8" s="574">
        <f>'Stmt BG - Page 2'!C26</f>
        <v>45108</v>
      </c>
      <c r="D8" s="574">
        <f>'Stmt BG - Page 2'!D26</f>
        <v>45139</v>
      </c>
      <c r="E8" s="574">
        <f>'Stmt BG - Page 2'!E26</f>
        <v>45170</v>
      </c>
      <c r="F8" s="574">
        <f>'Stmt BG - Page 2'!F26</f>
        <v>45200</v>
      </c>
      <c r="G8" s="574">
        <f>'Stmt BG - Page 2'!G26</f>
        <v>45231</v>
      </c>
      <c r="H8" s="574">
        <f>'Stmt BG - Page 2'!H26</f>
        <v>45261</v>
      </c>
      <c r="I8" s="574" t="s">
        <v>18</v>
      </c>
      <c r="J8" s="568"/>
      <c r="K8" s="75" t="s">
        <v>8</v>
      </c>
    </row>
    <row r="9" spans="1:11" ht="15.5" thickBot="1" x14ac:dyDescent="0.35">
      <c r="A9" s="153" t="s">
        <v>11</v>
      </c>
      <c r="B9" s="153" t="s">
        <v>89</v>
      </c>
      <c r="C9" s="153" t="s">
        <v>133</v>
      </c>
      <c r="D9" s="153" t="s">
        <v>133</v>
      </c>
      <c r="E9" s="153" t="s">
        <v>133</v>
      </c>
      <c r="F9" s="153" t="s">
        <v>133</v>
      </c>
      <c r="G9" s="153" t="s">
        <v>133</v>
      </c>
      <c r="H9" s="153" t="s">
        <v>133</v>
      </c>
      <c r="I9" s="153" t="s">
        <v>133</v>
      </c>
      <c r="J9" s="153" t="s">
        <v>16</v>
      </c>
      <c r="K9" s="153" t="s">
        <v>11</v>
      </c>
    </row>
    <row r="10" spans="1:11" ht="15.5" x14ac:dyDescent="0.35">
      <c r="A10" s="10"/>
      <c r="B10" s="10"/>
      <c r="C10" s="74"/>
      <c r="D10" s="10"/>
      <c r="E10" s="10"/>
      <c r="F10" s="10"/>
      <c r="G10" s="10"/>
      <c r="H10" s="10"/>
      <c r="I10" s="10"/>
      <c r="J10" s="10"/>
      <c r="K10" s="10"/>
    </row>
    <row r="11" spans="1:11" ht="15.5" x14ac:dyDescent="0.35">
      <c r="A11" s="10">
        <v>1</v>
      </c>
      <c r="B11" s="11" t="s">
        <v>94</v>
      </c>
      <c r="C11" s="31">
        <f>'WP 1.2 Forecast Sales'!I6*1000</f>
        <v>507882991.60000002</v>
      </c>
      <c r="D11" s="31">
        <f>'WP 1.2 Forecast Sales'!J6*1000</f>
        <v>559981301.80000007</v>
      </c>
      <c r="E11" s="31">
        <f>'WP 1.2 Forecast Sales'!K6*1000</f>
        <v>617135735.89999998</v>
      </c>
      <c r="F11" s="31">
        <f>'WP 1.2 Forecast Sales'!L6*1000</f>
        <v>523094415.90000004</v>
      </c>
      <c r="G11" s="31">
        <f>'WP 1.2 Forecast Sales'!M6*1000</f>
        <v>454942267.60000002</v>
      </c>
      <c r="H11" s="31">
        <f>'WP 1.2 Forecast Sales'!N6*1000</f>
        <v>497185697.09999996</v>
      </c>
      <c r="I11" s="31">
        <f>SUM('Stmt BG - Page 3'!C11:H11)+SUM('Stmt BG - Page 4'!C11:H11)</f>
        <v>5926982217.1000004</v>
      </c>
      <c r="J11" s="400" t="s">
        <v>134</v>
      </c>
      <c r="K11" s="10">
        <v>1</v>
      </c>
    </row>
    <row r="12" spans="1:11" ht="15.5" x14ac:dyDescent="0.35">
      <c r="A12" s="10">
        <f>A11+1</f>
        <v>2</v>
      </c>
      <c r="B12" s="11"/>
      <c r="C12" s="399"/>
      <c r="D12" s="399"/>
      <c r="E12" s="399"/>
      <c r="F12" s="399"/>
      <c r="G12" s="399"/>
      <c r="H12" s="399"/>
      <c r="I12" s="399"/>
      <c r="J12" s="405"/>
      <c r="K12" s="10">
        <f>K11+1</f>
        <v>2</v>
      </c>
    </row>
    <row r="13" spans="1:11" ht="15.5" x14ac:dyDescent="0.35">
      <c r="A13" s="10">
        <f t="shared" ref="A13:A45" si="0">A12+1</f>
        <v>3</v>
      </c>
      <c r="B13" s="11" t="s">
        <v>135</v>
      </c>
      <c r="C13" s="31">
        <f>'WP 1.2 Forecast Sales'!I7*1000</f>
        <v>170032169.30000001</v>
      </c>
      <c r="D13" s="31">
        <f>'WP 1.2 Forecast Sales'!J7*1000</f>
        <v>185278178</v>
      </c>
      <c r="E13" s="31">
        <f>'WP 1.2 Forecast Sales'!K7*1000</f>
        <v>193594785.29999998</v>
      </c>
      <c r="F13" s="31">
        <f>'WP 1.2 Forecast Sales'!L7*1000</f>
        <v>175933335.40000001</v>
      </c>
      <c r="G13" s="31">
        <f>'WP 1.2 Forecast Sales'!M7*1000</f>
        <v>160686796</v>
      </c>
      <c r="H13" s="31">
        <f>'WP 1.2 Forecast Sales'!N7*1000</f>
        <v>159930756.09999999</v>
      </c>
      <c r="I13" s="31">
        <f>SUM('Stmt BG - Page 3'!C13:H13)+SUM('Stmt BG - Page 4'!C13:H13)</f>
        <v>1972020175</v>
      </c>
      <c r="J13" s="400" t="s">
        <v>136</v>
      </c>
      <c r="K13" s="10">
        <f t="shared" ref="K13:K45" si="1">K12+1</f>
        <v>3</v>
      </c>
    </row>
    <row r="14" spans="1:11" ht="15.5" x14ac:dyDescent="0.35">
      <c r="A14" s="10">
        <f t="shared" si="0"/>
        <v>4</v>
      </c>
      <c r="B14" s="386"/>
      <c r="C14" s="394"/>
      <c r="D14" s="394"/>
      <c r="E14" s="394"/>
      <c r="F14" s="394"/>
      <c r="G14" s="394"/>
      <c r="H14" s="394"/>
      <c r="I14" s="31"/>
      <c r="J14" s="408"/>
      <c r="K14" s="10">
        <f t="shared" si="1"/>
        <v>4</v>
      </c>
    </row>
    <row r="15" spans="1:11" ht="15.5" x14ac:dyDescent="0.35">
      <c r="A15" s="10">
        <f t="shared" si="0"/>
        <v>5</v>
      </c>
      <c r="B15" s="17" t="s">
        <v>100</v>
      </c>
      <c r="C15" s="31">
        <f>'WP 1.2 Forecast Sales'!I8*1000</f>
        <v>771025890.39999998</v>
      </c>
      <c r="D15" s="31">
        <f>'WP 1.2 Forecast Sales'!J8*1000</f>
        <v>785073393.19999993</v>
      </c>
      <c r="E15" s="31">
        <f>'WP 1.2 Forecast Sales'!K8*1000</f>
        <v>864688705.70000005</v>
      </c>
      <c r="F15" s="31">
        <f>'WP 1.2 Forecast Sales'!L8*1000</f>
        <v>791410570.80000007</v>
      </c>
      <c r="G15" s="31">
        <f>'WP 1.2 Forecast Sales'!M8*1000</f>
        <v>728326985.20000005</v>
      </c>
      <c r="H15" s="31">
        <f>'WP 1.2 Forecast Sales'!N8*1000</f>
        <v>719849677.20000005</v>
      </c>
      <c r="I15" s="31">
        <f>SUM('Stmt BG - Page 3'!C15:H15)+SUM('Stmt BG - Page 4'!C15:H15)</f>
        <v>8766685241</v>
      </c>
      <c r="J15" s="400" t="s">
        <v>137</v>
      </c>
      <c r="K15" s="10">
        <f t="shared" si="1"/>
        <v>5</v>
      </c>
    </row>
    <row r="16" spans="1:11" ht="15.5" x14ac:dyDescent="0.35">
      <c r="A16" s="10">
        <f t="shared" si="0"/>
        <v>6</v>
      </c>
      <c r="B16" s="11"/>
      <c r="C16" s="31"/>
      <c r="D16" s="31"/>
      <c r="E16" s="31"/>
      <c r="F16" s="31"/>
      <c r="G16" s="31"/>
      <c r="H16" s="31"/>
      <c r="I16" s="31"/>
      <c r="J16" s="34"/>
      <c r="K16" s="10">
        <f t="shared" si="1"/>
        <v>6</v>
      </c>
    </row>
    <row r="17" spans="1:11" ht="15.5" x14ac:dyDescent="0.35">
      <c r="A17" s="10">
        <f t="shared" si="0"/>
        <v>7</v>
      </c>
      <c r="B17" s="11" t="s">
        <v>103</v>
      </c>
      <c r="C17" s="31">
        <f>'WP 1.2 Forecast Sales'!I10*1000</f>
        <v>14199159.199999999</v>
      </c>
      <c r="D17" s="31">
        <f>'WP 1.2 Forecast Sales'!J10*1000</f>
        <v>14576002.800000001</v>
      </c>
      <c r="E17" s="31">
        <f>'WP 1.2 Forecast Sales'!K10*1000</f>
        <v>15132216.1</v>
      </c>
      <c r="F17" s="31">
        <f>'WP 1.2 Forecast Sales'!L10*1000</f>
        <v>13596966.5</v>
      </c>
      <c r="G17" s="31">
        <f>'WP 1.2 Forecast Sales'!M10*1000</f>
        <v>11840222.6</v>
      </c>
      <c r="H17" s="31">
        <f>'WP 1.2 Forecast Sales'!N10*1000</f>
        <v>9659592.9000000004</v>
      </c>
      <c r="I17" s="31">
        <f>SUM('Stmt BG - Page 3'!C17:H17)+SUM('Stmt BG - Page 4'!C17:H17)</f>
        <v>135275983.70000002</v>
      </c>
      <c r="J17" s="400" t="s">
        <v>138</v>
      </c>
      <c r="K17" s="10">
        <f t="shared" si="1"/>
        <v>7</v>
      </c>
    </row>
    <row r="18" spans="1:11" ht="15.5" x14ac:dyDescent="0.35">
      <c r="A18" s="10">
        <f t="shared" si="0"/>
        <v>8</v>
      </c>
      <c r="B18" s="11"/>
      <c r="C18" s="31"/>
      <c r="D18" s="31"/>
      <c r="E18" s="31"/>
      <c r="F18" s="31"/>
      <c r="G18" s="31"/>
      <c r="H18" s="31"/>
      <c r="I18" s="31"/>
      <c r="J18" s="34"/>
      <c r="K18" s="10">
        <f t="shared" si="1"/>
        <v>8</v>
      </c>
    </row>
    <row r="19" spans="1:11" ht="15.5" x14ac:dyDescent="0.35">
      <c r="A19" s="10">
        <f t="shared" si="0"/>
        <v>9</v>
      </c>
      <c r="B19" s="11" t="s">
        <v>106</v>
      </c>
      <c r="C19" s="31">
        <f>'WP 1.2 Forecast Sales'!I11*1000</f>
        <v>16200938</v>
      </c>
      <c r="D19" s="31">
        <f>'WP 1.2 Forecast Sales'!J11*1000</f>
        <v>22200896.799999997</v>
      </c>
      <c r="E19" s="31">
        <f>'WP 1.2 Forecast Sales'!K11*1000</f>
        <v>18499681.300000001</v>
      </c>
      <c r="F19" s="31">
        <f>'WP 1.2 Forecast Sales'!L11*1000</f>
        <v>18596376.5</v>
      </c>
      <c r="G19" s="31">
        <f>'WP 1.2 Forecast Sales'!M11*1000</f>
        <v>14739230</v>
      </c>
      <c r="H19" s="31">
        <f>'WP 1.2 Forecast Sales'!N11*1000</f>
        <v>14660010</v>
      </c>
      <c r="I19" s="31">
        <f>SUM('Stmt BG - Page 3'!C19:H19)+SUM('Stmt BG - Page 4'!C19:H19)</f>
        <v>187435446.80000001</v>
      </c>
      <c r="J19" s="400" t="s">
        <v>139</v>
      </c>
      <c r="K19" s="10">
        <f t="shared" si="1"/>
        <v>9</v>
      </c>
    </row>
    <row r="20" spans="1:11" ht="15.5" x14ac:dyDescent="0.35">
      <c r="A20" s="10">
        <f t="shared" si="0"/>
        <v>10</v>
      </c>
      <c r="B20" s="11"/>
      <c r="C20" s="31"/>
      <c r="D20" s="31"/>
      <c r="E20" s="31"/>
      <c r="F20" s="31"/>
      <c r="G20" s="31"/>
      <c r="H20" s="31"/>
      <c r="I20" s="31"/>
      <c r="J20" s="34"/>
      <c r="K20" s="10">
        <f t="shared" si="1"/>
        <v>10</v>
      </c>
    </row>
    <row r="21" spans="1:11" ht="15.5" x14ac:dyDescent="0.35">
      <c r="A21" s="10">
        <f t="shared" si="0"/>
        <v>11</v>
      </c>
      <c r="B21" s="11" t="s">
        <v>140</v>
      </c>
      <c r="C21" s="38">
        <f>'WP 1.2 Forecast Sales'!I12*1000</f>
        <v>6357293.5999999996</v>
      </c>
      <c r="D21" s="38">
        <f>'WP 1.2 Forecast Sales'!J12*1000</f>
        <v>4756525.2</v>
      </c>
      <c r="E21" s="38">
        <f>'WP 1.2 Forecast Sales'!K12*1000</f>
        <v>7243115.2000000002</v>
      </c>
      <c r="F21" s="38">
        <f>'WP 1.2 Forecast Sales'!L12*1000</f>
        <v>6049578.5999999996</v>
      </c>
      <c r="G21" s="38">
        <f>'WP 1.2 Forecast Sales'!M12*1000</f>
        <v>6917959.6000000006</v>
      </c>
      <c r="H21" s="38">
        <f>'WP 1.2 Forecast Sales'!N12*1000</f>
        <v>7380267.3000000007</v>
      </c>
      <c r="I21" s="38">
        <f>SUM('Stmt BG - Page 3'!C21:H21)+SUM('Stmt BG - Page 4'!C21:H21)</f>
        <v>78329119.700000003</v>
      </c>
      <c r="J21" s="400" t="s">
        <v>141</v>
      </c>
      <c r="K21" s="10">
        <f t="shared" si="1"/>
        <v>11</v>
      </c>
    </row>
    <row r="22" spans="1:11" ht="15.5" x14ac:dyDescent="0.35">
      <c r="A22" s="10">
        <f t="shared" si="0"/>
        <v>12</v>
      </c>
      <c r="B22" s="11"/>
      <c r="C22" s="31"/>
      <c r="D22" s="31"/>
      <c r="E22" s="31"/>
      <c r="F22" s="31"/>
      <c r="G22" s="31"/>
      <c r="H22" s="31"/>
      <c r="I22" s="31"/>
      <c r="J22" s="405"/>
      <c r="K22" s="10">
        <f t="shared" si="1"/>
        <v>12</v>
      </c>
    </row>
    <row r="23" spans="1:11" ht="16" thickBot="1" x14ac:dyDescent="0.4">
      <c r="A23" s="10">
        <f t="shared" si="0"/>
        <v>13</v>
      </c>
      <c r="B23" s="11" t="s">
        <v>162</v>
      </c>
      <c r="C23" s="475">
        <f>SUM(C11:C21)</f>
        <v>1485698442.1000001</v>
      </c>
      <c r="D23" s="475">
        <f t="shared" ref="D23:I23" si="2">SUM(D11:D21)</f>
        <v>1571866297.8</v>
      </c>
      <c r="E23" s="475">
        <f t="shared" si="2"/>
        <v>1716294239.5</v>
      </c>
      <c r="F23" s="475">
        <f t="shared" si="2"/>
        <v>1528681243.7</v>
      </c>
      <c r="G23" s="475">
        <f t="shared" si="2"/>
        <v>1377453461</v>
      </c>
      <c r="H23" s="475">
        <f t="shared" si="2"/>
        <v>1408666000.6000001</v>
      </c>
      <c r="I23" s="475">
        <f t="shared" si="2"/>
        <v>17066728183.300001</v>
      </c>
      <c r="J23" s="400" t="s">
        <v>142</v>
      </c>
      <c r="K23" s="10">
        <f t="shared" si="1"/>
        <v>13</v>
      </c>
    </row>
    <row r="24" spans="1:11" ht="16.5" thickTop="1" thickBot="1" x14ac:dyDescent="0.4">
      <c r="A24" s="57">
        <f t="shared" si="0"/>
        <v>14</v>
      </c>
      <c r="B24" s="420"/>
      <c r="C24" s="830"/>
      <c r="D24" s="58"/>
      <c r="E24" s="58"/>
      <c r="F24" s="58"/>
      <c r="G24" s="58"/>
      <c r="H24" s="58"/>
      <c r="I24" s="58"/>
      <c r="J24" s="58"/>
      <c r="K24" s="57">
        <f t="shared" si="1"/>
        <v>14</v>
      </c>
    </row>
    <row r="25" spans="1:11" ht="15.5" x14ac:dyDescent="0.35">
      <c r="A25" s="10">
        <f t="shared" si="0"/>
        <v>15</v>
      </c>
      <c r="B25" s="421"/>
      <c r="C25" s="409"/>
      <c r="D25" s="409"/>
      <c r="E25" s="409"/>
      <c r="F25" s="409"/>
      <c r="G25" s="409"/>
      <c r="H25" s="409"/>
      <c r="I25" s="409"/>
      <c r="J25" s="409"/>
      <c r="K25" s="10">
        <f t="shared" si="1"/>
        <v>15</v>
      </c>
    </row>
    <row r="26" spans="1:11" ht="16" thickBot="1" x14ac:dyDescent="0.4">
      <c r="A26" s="57">
        <f>A25+1</f>
        <v>16</v>
      </c>
      <c r="B26" s="420"/>
      <c r="C26" s="57" t="s">
        <v>143</v>
      </c>
      <c r="D26" s="57" t="s">
        <v>143</v>
      </c>
      <c r="E26" s="57" t="s">
        <v>143</v>
      </c>
      <c r="F26" s="57" t="s">
        <v>143</v>
      </c>
      <c r="G26" s="57" t="s">
        <v>143</v>
      </c>
      <c r="H26" s="57" t="s">
        <v>143</v>
      </c>
      <c r="I26" s="57"/>
      <c r="J26" s="57"/>
      <c r="K26" s="57">
        <f>K25+1</f>
        <v>16</v>
      </c>
    </row>
    <row r="27" spans="1:11" ht="15.5" x14ac:dyDescent="0.35">
      <c r="A27" s="10">
        <f t="shared" si="0"/>
        <v>17</v>
      </c>
      <c r="B27" s="11"/>
      <c r="C27" s="75"/>
      <c r="D27" s="10"/>
      <c r="E27" s="10"/>
      <c r="F27" s="10"/>
      <c r="G27" s="10"/>
      <c r="H27" s="10"/>
      <c r="I27" s="10"/>
      <c r="J27" s="10"/>
      <c r="K27" s="10">
        <f t="shared" si="1"/>
        <v>17</v>
      </c>
    </row>
    <row r="28" spans="1:11" ht="15.5" x14ac:dyDescent="0.35">
      <c r="A28" s="10">
        <f t="shared" si="0"/>
        <v>18</v>
      </c>
      <c r="B28" s="11" t="str">
        <f>'Stmt BG - Page 3'!B28</f>
        <v>Retail TRBAA Rate ($/kWh) @ Changed Rate</v>
      </c>
      <c r="C28" s="385">
        <f>'Stmt BG - Page 3'!C28</f>
        <v>-2.4199999999999998E-3</v>
      </c>
      <c r="D28" s="385">
        <f>$C28</f>
        <v>-2.4199999999999998E-3</v>
      </c>
      <c r="E28" s="385">
        <f>$C28</f>
        <v>-2.4199999999999998E-3</v>
      </c>
      <c r="F28" s="385">
        <f>$C28</f>
        <v>-2.4199999999999998E-3</v>
      </c>
      <c r="G28" s="385">
        <f>$C28</f>
        <v>-2.4199999999999998E-3</v>
      </c>
      <c r="H28" s="385">
        <f>$C28</f>
        <v>-2.4199999999999998E-3</v>
      </c>
      <c r="I28" s="31"/>
      <c r="J28" s="403" t="str">
        <f>'Stmt BG - Page 3'!I28</f>
        <v>Statement BL (Retail); Page 1; Line 27</v>
      </c>
      <c r="K28" s="10">
        <f t="shared" si="1"/>
        <v>18</v>
      </c>
    </row>
    <row r="29" spans="1:11" ht="16" thickBot="1" x14ac:dyDescent="0.4">
      <c r="A29" s="57">
        <f>A28+1</f>
        <v>19</v>
      </c>
      <c r="B29" s="420"/>
      <c r="C29" s="58"/>
      <c r="D29" s="58"/>
      <c r="E29" s="58"/>
      <c r="F29" s="58"/>
      <c r="G29" s="58"/>
      <c r="H29" s="58"/>
      <c r="I29" s="58"/>
      <c r="J29" s="58"/>
      <c r="K29" s="57">
        <f>K28+1</f>
        <v>19</v>
      </c>
    </row>
    <row r="30" spans="1:11" ht="15.5" x14ac:dyDescent="0.35">
      <c r="A30" s="10">
        <f t="shared" si="0"/>
        <v>20</v>
      </c>
      <c r="B30" s="11"/>
      <c r="C30" s="17"/>
      <c r="D30" s="17"/>
      <c r="E30" s="17"/>
      <c r="F30" s="17"/>
      <c r="G30" s="17"/>
      <c r="H30" s="17"/>
      <c r="I30" s="17"/>
      <c r="J30" s="17"/>
      <c r="K30" s="10">
        <f t="shared" si="1"/>
        <v>20</v>
      </c>
    </row>
    <row r="31" spans="1:11" ht="34.5" customHeight="1" thickBot="1" x14ac:dyDescent="0.4">
      <c r="A31" s="57">
        <f t="shared" si="0"/>
        <v>21</v>
      </c>
      <c r="B31" s="420"/>
      <c r="C31" s="404" t="s">
        <v>146</v>
      </c>
      <c r="D31" s="404" t="s">
        <v>146</v>
      </c>
      <c r="E31" s="404" t="s">
        <v>146</v>
      </c>
      <c r="F31" s="404" t="s">
        <v>146</v>
      </c>
      <c r="G31" s="404" t="s">
        <v>146</v>
      </c>
      <c r="H31" s="404" t="s">
        <v>146</v>
      </c>
      <c r="I31" s="404" t="s">
        <v>146</v>
      </c>
      <c r="J31" s="57"/>
      <c r="K31" s="57">
        <f t="shared" si="1"/>
        <v>21</v>
      </c>
    </row>
    <row r="32" spans="1:11" ht="15.5" x14ac:dyDescent="0.35">
      <c r="A32" s="10">
        <f t="shared" si="0"/>
        <v>22</v>
      </c>
      <c r="B32" s="11"/>
      <c r="C32" s="10"/>
      <c r="D32" s="10"/>
      <c r="E32" s="10"/>
      <c r="F32" s="10"/>
      <c r="G32" s="10"/>
      <c r="H32" s="10"/>
      <c r="I32" s="10"/>
      <c r="J32" s="74"/>
      <c r="K32" s="10">
        <f t="shared" si="1"/>
        <v>22</v>
      </c>
    </row>
    <row r="33" spans="1:11" ht="15.5" x14ac:dyDescent="0.35">
      <c r="A33" s="10">
        <f t="shared" si="0"/>
        <v>23</v>
      </c>
      <c r="B33" s="11" t="s">
        <v>94</v>
      </c>
      <c r="C33" s="141">
        <f>C11*C$28</f>
        <v>-1229076.8396719999</v>
      </c>
      <c r="D33" s="141">
        <f t="shared" ref="D33:H33" si="3">D11*D$28</f>
        <v>-1355154.7503560001</v>
      </c>
      <c r="E33" s="141">
        <f t="shared" si="3"/>
        <v>-1493468.4808779999</v>
      </c>
      <c r="F33" s="141">
        <f t="shared" si="3"/>
        <v>-1265888.4864779999</v>
      </c>
      <c r="G33" s="141">
        <f t="shared" si="3"/>
        <v>-1100960.2875920001</v>
      </c>
      <c r="H33" s="141">
        <f t="shared" si="3"/>
        <v>-1203189.3869819997</v>
      </c>
      <c r="I33" s="141">
        <f>SUM('Stmt BG - Page 3'!C33:H33)+SUM('Stmt BG - Page 4'!C33:H33)</f>
        <v>-14343296.965381999</v>
      </c>
      <c r="J33" s="26" t="s">
        <v>147</v>
      </c>
      <c r="K33" s="10">
        <f t="shared" si="1"/>
        <v>23</v>
      </c>
    </row>
    <row r="34" spans="1:11" ht="15.5" x14ac:dyDescent="0.35">
      <c r="A34" s="10">
        <f t="shared" si="0"/>
        <v>24</v>
      </c>
      <c r="B34" s="11"/>
      <c r="C34" s="399"/>
      <c r="D34" s="399"/>
      <c r="E34" s="399"/>
      <c r="F34" s="399"/>
      <c r="G34" s="399"/>
      <c r="H34" s="399"/>
      <c r="I34" s="399"/>
      <c r="J34" s="405"/>
      <c r="K34" s="10">
        <f t="shared" si="1"/>
        <v>24</v>
      </c>
    </row>
    <row r="35" spans="1:11" ht="15.5" x14ac:dyDescent="0.35">
      <c r="A35" s="10">
        <f t="shared" si="0"/>
        <v>25</v>
      </c>
      <c r="B35" s="11" t="s">
        <v>135</v>
      </c>
      <c r="C35" s="44">
        <f>C13*C$28</f>
        <v>-411477.84970600001</v>
      </c>
      <c r="D35" s="44">
        <f t="shared" ref="D35:H35" si="4">D13*D$28</f>
        <v>-448373.19075999997</v>
      </c>
      <c r="E35" s="44">
        <f t="shared" si="4"/>
        <v>-468499.38042599993</v>
      </c>
      <c r="F35" s="44">
        <f t="shared" si="4"/>
        <v>-425758.671668</v>
      </c>
      <c r="G35" s="44">
        <f t="shared" si="4"/>
        <v>-388862.04631999996</v>
      </c>
      <c r="H35" s="44">
        <f t="shared" si="4"/>
        <v>-387032.42976199999</v>
      </c>
      <c r="I35" s="44">
        <f>SUM('Stmt BG - Page 3'!C35:H35)+SUM('Stmt BG - Page 4'!C35:H35)</f>
        <v>-4772288.8234999999</v>
      </c>
      <c r="J35" s="26" t="s">
        <v>148</v>
      </c>
      <c r="K35" s="10">
        <f t="shared" si="1"/>
        <v>25</v>
      </c>
    </row>
    <row r="36" spans="1:11" ht="15.5" x14ac:dyDescent="0.35">
      <c r="A36" s="10">
        <f t="shared" si="0"/>
        <v>26</v>
      </c>
      <c r="B36" s="386"/>
      <c r="C36" s="394"/>
      <c r="D36" s="394"/>
      <c r="E36" s="394"/>
      <c r="F36" s="394"/>
      <c r="G36" s="394"/>
      <c r="H36" s="394"/>
      <c r="I36" s="44"/>
      <c r="J36" s="26"/>
      <c r="K36" s="10">
        <f t="shared" si="1"/>
        <v>26</v>
      </c>
    </row>
    <row r="37" spans="1:11" ht="15.5" x14ac:dyDescent="0.35">
      <c r="A37" s="10">
        <f t="shared" si="0"/>
        <v>27</v>
      </c>
      <c r="B37" s="17" t="s">
        <v>100</v>
      </c>
      <c r="C37" s="44">
        <f>C15*C$28</f>
        <v>-1865882.6547679999</v>
      </c>
      <c r="D37" s="44">
        <f t="shared" ref="D37:H37" si="5">D15*D$28</f>
        <v>-1899877.6115439998</v>
      </c>
      <c r="E37" s="44">
        <f t="shared" si="5"/>
        <v>-2092546.6677939999</v>
      </c>
      <c r="F37" s="44">
        <f t="shared" si="5"/>
        <v>-1915213.581336</v>
      </c>
      <c r="G37" s="44">
        <f t="shared" si="5"/>
        <v>-1762551.304184</v>
      </c>
      <c r="H37" s="44">
        <f t="shared" si="5"/>
        <v>-1742036.2188240001</v>
      </c>
      <c r="I37" s="44">
        <f>SUM('Stmt BG - Page 3'!C37:H37)+SUM('Stmt BG - Page 4'!C37:H37)</f>
        <v>-21215378.283220001</v>
      </c>
      <c r="J37" s="26" t="s">
        <v>149</v>
      </c>
      <c r="K37" s="10">
        <f t="shared" si="1"/>
        <v>27</v>
      </c>
    </row>
    <row r="38" spans="1:11" ht="15.5" x14ac:dyDescent="0.35">
      <c r="A38" s="10">
        <f t="shared" si="0"/>
        <v>28</v>
      </c>
      <c r="B38" s="11"/>
      <c r="C38" s="44"/>
      <c r="D38" s="44"/>
      <c r="E38" s="44"/>
      <c r="F38" s="44"/>
      <c r="G38" s="44"/>
      <c r="H38" s="44"/>
      <c r="I38" s="44"/>
      <c r="J38" s="26"/>
      <c r="K38" s="10">
        <f t="shared" si="1"/>
        <v>28</v>
      </c>
    </row>
    <row r="39" spans="1:11" ht="15.5" x14ac:dyDescent="0.35">
      <c r="A39" s="10">
        <f t="shared" si="0"/>
        <v>29</v>
      </c>
      <c r="B39" s="11" t="s">
        <v>103</v>
      </c>
      <c r="C39" s="44">
        <f>C17*C$28</f>
        <v>-34361.965263999999</v>
      </c>
      <c r="D39" s="44">
        <f t="shared" ref="D39:H39" si="6">D17*D$28</f>
        <v>-35273.926776</v>
      </c>
      <c r="E39" s="44">
        <f t="shared" si="6"/>
        <v>-36619.962961999998</v>
      </c>
      <c r="F39" s="44">
        <f t="shared" si="6"/>
        <v>-32904.658929999998</v>
      </c>
      <c r="G39" s="44">
        <f t="shared" si="6"/>
        <v>-28653.338691999998</v>
      </c>
      <c r="H39" s="44">
        <f t="shared" si="6"/>
        <v>-23376.214818</v>
      </c>
      <c r="I39" s="44">
        <f>SUM('Stmt BG - Page 3'!C39:H39)+SUM('Stmt BG - Page 4'!C39:H39)</f>
        <v>-327367.88055400003</v>
      </c>
      <c r="J39" s="26" t="s">
        <v>150</v>
      </c>
      <c r="K39" s="10">
        <f t="shared" si="1"/>
        <v>29</v>
      </c>
    </row>
    <row r="40" spans="1:11" ht="15.5" x14ac:dyDescent="0.35">
      <c r="A40" s="10">
        <f t="shared" si="0"/>
        <v>30</v>
      </c>
      <c r="B40" s="11"/>
      <c r="C40" s="44"/>
      <c r="D40" s="44"/>
      <c r="E40" s="44"/>
      <c r="F40" s="44"/>
      <c r="G40" s="44"/>
      <c r="H40" s="44"/>
      <c r="I40" s="44"/>
      <c r="J40" s="26"/>
      <c r="K40" s="10">
        <f t="shared" si="1"/>
        <v>30</v>
      </c>
    </row>
    <row r="41" spans="1:11" ht="15.5" x14ac:dyDescent="0.35">
      <c r="A41" s="10">
        <f t="shared" si="0"/>
        <v>31</v>
      </c>
      <c r="B41" s="11" t="s">
        <v>106</v>
      </c>
      <c r="C41" s="44">
        <f>C19*C$28</f>
        <v>-39206.269959999998</v>
      </c>
      <c r="D41" s="44">
        <f t="shared" ref="D41:H41" si="7">D19*D$28</f>
        <v>-53726.17025599999</v>
      </c>
      <c r="E41" s="44">
        <f t="shared" si="7"/>
        <v>-44769.228746000001</v>
      </c>
      <c r="F41" s="44">
        <f t="shared" si="7"/>
        <v>-45003.23113</v>
      </c>
      <c r="G41" s="44">
        <f t="shared" si="7"/>
        <v>-35668.936600000001</v>
      </c>
      <c r="H41" s="44">
        <f t="shared" si="7"/>
        <v>-35477.224199999997</v>
      </c>
      <c r="I41" s="44">
        <f>SUM('Stmt BG - Page 3'!C41:H41)+SUM('Stmt BG - Page 4'!C41:H41)</f>
        <v>-453593.78125599993</v>
      </c>
      <c r="J41" s="26" t="s">
        <v>151</v>
      </c>
      <c r="K41" s="10">
        <f t="shared" si="1"/>
        <v>31</v>
      </c>
    </row>
    <row r="42" spans="1:11" ht="15.5" x14ac:dyDescent="0.35">
      <c r="A42" s="10">
        <f t="shared" si="0"/>
        <v>32</v>
      </c>
      <c r="B42" s="11"/>
      <c r="C42" s="44"/>
      <c r="D42" s="44"/>
      <c r="E42" s="44"/>
      <c r="F42" s="44"/>
      <c r="G42" s="44"/>
      <c r="H42" s="44"/>
      <c r="I42" s="44"/>
      <c r="J42" s="26"/>
      <c r="K42" s="10">
        <f t="shared" si="1"/>
        <v>32</v>
      </c>
    </row>
    <row r="43" spans="1:11" ht="15.5" x14ac:dyDescent="0.35">
      <c r="A43" s="10">
        <f t="shared" si="0"/>
        <v>33</v>
      </c>
      <c r="B43" s="11" t="s">
        <v>140</v>
      </c>
      <c r="C43" s="51">
        <f>C21*C$28</f>
        <v>-15384.650511999998</v>
      </c>
      <c r="D43" s="51">
        <f t="shared" ref="D43:H43" si="8">D21*D$28</f>
        <v>-11510.790983999999</v>
      </c>
      <c r="E43" s="51">
        <f t="shared" si="8"/>
        <v>-17528.338784</v>
      </c>
      <c r="F43" s="51">
        <f t="shared" si="8"/>
        <v>-14639.980211999999</v>
      </c>
      <c r="G43" s="51">
        <f t="shared" si="8"/>
        <v>-16741.462232000002</v>
      </c>
      <c r="H43" s="51">
        <f t="shared" si="8"/>
        <v>-17860.246866000001</v>
      </c>
      <c r="I43" s="44">
        <f>SUM('Stmt BG - Page 3'!C43:H43)+SUM('Stmt BG - Page 4'!C43:H43)</f>
        <v>-189556.46967399999</v>
      </c>
      <c r="J43" s="26" t="s">
        <v>152</v>
      </c>
      <c r="K43" s="10">
        <f t="shared" si="1"/>
        <v>33</v>
      </c>
    </row>
    <row r="44" spans="1:11" ht="15.5" x14ac:dyDescent="0.35">
      <c r="A44" s="10">
        <f t="shared" si="0"/>
        <v>34</v>
      </c>
      <c r="B44" s="11"/>
      <c r="C44" s="476"/>
      <c r="D44" s="476"/>
      <c r="E44" s="476"/>
      <c r="F44" s="476"/>
      <c r="G44" s="476"/>
      <c r="H44" s="476"/>
      <c r="I44" s="476"/>
      <c r="J44" s="26"/>
      <c r="K44" s="10">
        <f t="shared" si="1"/>
        <v>34</v>
      </c>
    </row>
    <row r="45" spans="1:11" ht="15.5" x14ac:dyDescent="0.35">
      <c r="A45" s="10">
        <f t="shared" si="0"/>
        <v>35</v>
      </c>
      <c r="B45" s="11" t="s">
        <v>162</v>
      </c>
      <c r="C45" s="514">
        <f>SUM(C33:C43)</f>
        <v>-3595390.229882</v>
      </c>
      <c r="D45" s="514">
        <f t="shared" ref="D45:I45" si="9">SUM(D33:D43)</f>
        <v>-3803916.4406759995</v>
      </c>
      <c r="E45" s="514">
        <f t="shared" si="9"/>
        <v>-4153432.0595899997</v>
      </c>
      <c r="F45" s="514">
        <f t="shared" si="9"/>
        <v>-3699408.6097540003</v>
      </c>
      <c r="G45" s="514">
        <f t="shared" si="9"/>
        <v>-3333437.3756200005</v>
      </c>
      <c r="H45" s="514">
        <f t="shared" si="9"/>
        <v>-3408971.7214519996</v>
      </c>
      <c r="I45" s="514">
        <f t="shared" si="9"/>
        <v>-41301482.20358599</v>
      </c>
      <c r="J45" s="406" t="s">
        <v>153</v>
      </c>
      <c r="K45" s="10">
        <f t="shared" si="1"/>
        <v>35</v>
      </c>
    </row>
    <row r="46" spans="1:11" ht="16" thickBot="1" x14ac:dyDescent="0.4">
      <c r="A46" s="57"/>
      <c r="B46" s="57"/>
      <c r="C46" s="830"/>
      <c r="D46" s="58"/>
      <c r="E46" s="58"/>
      <c r="F46" s="58"/>
      <c r="G46" s="58"/>
      <c r="H46" s="58"/>
      <c r="I46" s="58"/>
      <c r="J46" s="58"/>
      <c r="K46" s="57"/>
    </row>
    <row r="47" spans="1:11" ht="15.5" x14ac:dyDescent="0.35">
      <c r="A47" s="37"/>
      <c r="B47" s="391"/>
      <c r="C47" s="22"/>
      <c r="D47" s="22"/>
      <c r="E47" s="22"/>
      <c r="F47" s="22"/>
      <c r="G47" s="22"/>
      <c r="H47" s="22"/>
      <c r="I47" s="22"/>
      <c r="J47" s="22"/>
      <c r="K47" s="22"/>
    </row>
    <row r="48" spans="1:11" ht="18.5" x14ac:dyDescent="0.35">
      <c r="A48" s="69"/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1" ht="15.5" x14ac:dyDescent="0.35">
      <c r="A49" s="831"/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50" spans="1:11" ht="15.5" x14ac:dyDescent="0.35">
      <c r="A50" s="831"/>
      <c r="B50" s="22"/>
      <c r="C50" s="22"/>
      <c r="D50" s="22"/>
      <c r="E50" s="22"/>
      <c r="F50" s="22"/>
      <c r="G50" s="22"/>
      <c r="H50" s="22"/>
      <c r="I50" s="22"/>
      <c r="J50" s="22"/>
      <c r="K50" s="22"/>
    </row>
    <row r="51" spans="1:11" ht="15.5" x14ac:dyDescent="0.35">
      <c r="A51" s="37"/>
      <c r="B51" s="22"/>
      <c r="C51" s="22"/>
      <c r="D51" s="22"/>
      <c r="E51" s="22"/>
      <c r="F51" s="22"/>
      <c r="G51" s="22"/>
      <c r="H51" s="22"/>
      <c r="I51" s="22"/>
      <c r="J51" s="22"/>
      <c r="K51" s="22"/>
    </row>
    <row r="52" spans="1:11" ht="15.5" x14ac:dyDescent="0.35">
      <c r="A52" s="37"/>
      <c r="B52" s="22"/>
      <c r="C52" s="22"/>
      <c r="D52" s="22"/>
      <c r="E52" s="22"/>
      <c r="F52" s="22"/>
      <c r="G52" s="22"/>
      <c r="H52" s="22"/>
      <c r="I52" s="22"/>
      <c r="J52" s="22"/>
      <c r="K52" s="22"/>
    </row>
    <row r="53" spans="1:11" ht="15.5" x14ac:dyDescent="0.35">
      <c r="A53" s="37"/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 ht="15.5" x14ac:dyDescent="0.35">
      <c r="A54" s="37"/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1" ht="15.5" x14ac:dyDescent="0.35">
      <c r="A55" s="37"/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1" ht="15.5" x14ac:dyDescent="0.35">
      <c r="A56" s="37"/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1" ht="15.5" x14ac:dyDescent="0.35">
      <c r="A57" s="37"/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1" ht="15.5" x14ac:dyDescent="0.35">
      <c r="A58" s="37"/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1" ht="15.5" x14ac:dyDescent="0.35">
      <c r="A59" s="37"/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15.5" x14ac:dyDescent="0.35">
      <c r="A60" s="37"/>
      <c r="B60" s="22"/>
      <c r="C60" s="22"/>
      <c r="D60" s="22"/>
      <c r="E60" s="22"/>
      <c r="F60" s="22"/>
      <c r="G60" s="22"/>
      <c r="H60" s="22"/>
      <c r="I60" s="22"/>
      <c r="J60" s="22"/>
      <c r="K60" s="22"/>
    </row>
    <row r="61" spans="1:11" ht="15.5" x14ac:dyDescent="0.35">
      <c r="A61" s="37"/>
      <c r="B61" s="22"/>
      <c r="C61" s="22"/>
      <c r="D61" s="22"/>
      <c r="E61" s="22"/>
      <c r="F61" s="22"/>
      <c r="G61" s="22"/>
      <c r="H61" s="22"/>
      <c r="I61" s="22"/>
      <c r="J61" s="22"/>
      <c r="K61" s="22"/>
    </row>
    <row r="62" spans="1:11" ht="15.5" x14ac:dyDescent="0.35">
      <c r="A62" s="37"/>
      <c r="B62" s="22"/>
      <c r="C62" s="22"/>
      <c r="D62" s="22"/>
      <c r="E62" s="22"/>
      <c r="F62" s="22"/>
      <c r="G62" s="22"/>
      <c r="H62" s="22"/>
      <c r="I62" s="22"/>
      <c r="J62" s="22"/>
      <c r="K62" s="22"/>
    </row>
    <row r="63" spans="1:11" ht="15.5" x14ac:dyDescent="0.35">
      <c r="A63" s="37"/>
      <c r="B63" s="22"/>
      <c r="C63" s="22"/>
      <c r="D63" s="22"/>
      <c r="E63" s="22"/>
      <c r="F63" s="22"/>
      <c r="G63" s="22"/>
      <c r="H63" s="22"/>
      <c r="I63" s="22"/>
      <c r="J63" s="22"/>
      <c r="K63" s="22"/>
    </row>
    <row r="64" spans="1:11" ht="15.5" x14ac:dyDescent="0.35">
      <c r="A64" s="37"/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 ht="15.5" x14ac:dyDescent="0.35">
      <c r="A65" s="37"/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ht="15.5" x14ac:dyDescent="0.35">
      <c r="A66" s="37"/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ht="15.5" x14ac:dyDescent="0.35">
      <c r="A67" s="37"/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ht="15.5" x14ac:dyDescent="0.35">
      <c r="A68" s="37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ht="15.5" x14ac:dyDescent="0.35">
      <c r="A69" s="37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ht="15.5" x14ac:dyDescent="0.35">
      <c r="A70" s="37"/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 ht="15.5" x14ac:dyDescent="0.35">
      <c r="A71" s="37"/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1" ht="15.5" x14ac:dyDescent="0.35">
      <c r="A72" s="37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ht="15.5" x14ac:dyDescent="0.35">
      <c r="A73" s="37"/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1" ht="15.5" x14ac:dyDescent="0.35">
      <c r="A74" s="37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ht="15.5" x14ac:dyDescent="0.35">
      <c r="A75" s="37"/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1" ht="15.5" x14ac:dyDescent="0.35">
      <c r="A76" s="37"/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1" ht="15.5" x14ac:dyDescent="0.35">
      <c r="A77" s="37"/>
      <c r="B77" s="22"/>
      <c r="C77" s="22"/>
      <c r="D77" s="22"/>
      <c r="E77" s="22"/>
      <c r="F77" s="22"/>
      <c r="G77" s="22"/>
      <c r="H77" s="22"/>
      <c r="I77" s="22"/>
      <c r="J77" s="22"/>
      <c r="K77" s="22"/>
    </row>
    <row r="78" spans="1:11" ht="15.5" x14ac:dyDescent="0.35">
      <c r="A78" s="37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 ht="15.5" x14ac:dyDescent="0.35">
      <c r="A79" s="37"/>
      <c r="B79" s="22"/>
      <c r="C79" s="22"/>
      <c r="D79" s="22"/>
      <c r="E79" s="22"/>
      <c r="F79" s="22"/>
      <c r="G79" s="22"/>
      <c r="H79" s="22"/>
      <c r="I79" s="22"/>
      <c r="J79" s="22"/>
      <c r="K79" s="22"/>
    </row>
    <row r="80" spans="1:11" ht="15.5" x14ac:dyDescent="0.35">
      <c r="A80" s="37"/>
      <c r="B80" s="22"/>
      <c r="C80" s="22"/>
      <c r="D80" s="22"/>
      <c r="E80" s="22"/>
      <c r="F80" s="22"/>
      <c r="G80" s="22"/>
      <c r="H80" s="22"/>
      <c r="I80" s="22"/>
      <c r="J80" s="22"/>
      <c r="K80" s="22"/>
    </row>
    <row r="81" spans="1:11" ht="15.5" x14ac:dyDescent="0.35">
      <c r="A81" s="37"/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 ht="15.5" x14ac:dyDescent="0.35">
      <c r="A82" s="37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spans="1:11" ht="15.5" x14ac:dyDescent="0.35">
      <c r="A83" s="37"/>
      <c r="B83" s="22"/>
      <c r="C83" s="22"/>
      <c r="D83" s="22"/>
      <c r="E83" s="22"/>
      <c r="F83" s="22"/>
      <c r="G83" s="22"/>
      <c r="H83" s="22"/>
      <c r="I83" s="22"/>
      <c r="J83" s="22"/>
      <c r="K83" s="22"/>
    </row>
    <row r="84" spans="1:11" ht="15.5" x14ac:dyDescent="0.35">
      <c r="A84" s="37"/>
      <c r="B84" s="22"/>
      <c r="C84" s="22"/>
      <c r="D84" s="22"/>
      <c r="E84" s="22"/>
      <c r="F84" s="22"/>
      <c r="G84" s="22"/>
      <c r="H84" s="22"/>
      <c r="I84" s="22"/>
      <c r="J84" s="22"/>
      <c r="K84" s="22"/>
    </row>
    <row r="85" spans="1:11" ht="15.5" x14ac:dyDescent="0.35">
      <c r="A85" s="37"/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1:11" ht="15.5" x14ac:dyDescent="0.35">
      <c r="A86" s="37"/>
      <c r="B86" s="22"/>
      <c r="C86" s="22"/>
      <c r="D86" s="22"/>
      <c r="E86" s="22"/>
      <c r="F86" s="22"/>
      <c r="G86" s="22"/>
      <c r="H86" s="22"/>
      <c r="I86" s="22"/>
      <c r="J86" s="22"/>
      <c r="K86" s="22"/>
    </row>
    <row r="87" spans="1:11" ht="15.5" x14ac:dyDescent="0.35">
      <c r="A87" s="37"/>
      <c r="B87" s="22"/>
      <c r="C87" s="22"/>
      <c r="D87" s="22"/>
      <c r="E87" s="22"/>
      <c r="F87" s="22"/>
      <c r="G87" s="22"/>
      <c r="H87" s="22"/>
      <c r="I87" s="22"/>
      <c r="J87" s="22"/>
      <c r="K87" s="22"/>
    </row>
    <row r="88" spans="1:11" ht="15.5" x14ac:dyDescent="0.35">
      <c r="A88" s="37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 ht="15.5" x14ac:dyDescent="0.35">
      <c r="A89" s="37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 ht="15.5" x14ac:dyDescent="0.35">
      <c r="A90" s="37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 ht="15.5" x14ac:dyDescent="0.35">
      <c r="A91" s="37"/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ht="15.5" x14ac:dyDescent="0.35">
      <c r="A92" s="37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ht="15.5" x14ac:dyDescent="0.35">
      <c r="A93" s="37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 ht="15.5" x14ac:dyDescent="0.35">
      <c r="A94" s="37"/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 ht="15.5" x14ac:dyDescent="0.35">
      <c r="A95" s="37"/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1" ht="15.5" x14ac:dyDescent="0.35">
      <c r="A96" s="37"/>
      <c r="B96" s="22"/>
      <c r="C96" s="22"/>
      <c r="D96" s="22"/>
      <c r="E96" s="22"/>
      <c r="F96" s="22"/>
      <c r="G96" s="22"/>
      <c r="H96" s="22"/>
      <c r="I96" s="22"/>
      <c r="J96" s="22"/>
      <c r="K96" s="22"/>
    </row>
    <row r="97" spans="1:11" ht="15.5" x14ac:dyDescent="0.35">
      <c r="A97" s="37"/>
      <c r="B97" s="22"/>
      <c r="C97" s="22"/>
      <c r="D97" s="22"/>
      <c r="E97" s="22"/>
      <c r="F97" s="22"/>
      <c r="G97" s="22"/>
      <c r="H97" s="22"/>
      <c r="I97" s="22"/>
      <c r="J97" s="22"/>
      <c r="K97" s="22"/>
    </row>
    <row r="98" spans="1:11" ht="15.5" x14ac:dyDescent="0.35">
      <c r="A98" s="37"/>
      <c r="B98" s="22"/>
      <c r="C98" s="22"/>
      <c r="D98" s="22"/>
      <c r="E98" s="22"/>
      <c r="F98" s="22"/>
      <c r="G98" s="22"/>
      <c r="H98" s="22"/>
      <c r="I98" s="22"/>
      <c r="J98" s="22"/>
      <c r="K98" s="22"/>
    </row>
    <row r="99" spans="1:11" ht="15.5" x14ac:dyDescent="0.35">
      <c r="A99" s="37"/>
      <c r="B99" s="22"/>
      <c r="C99" s="22"/>
      <c r="D99" s="22"/>
      <c r="E99" s="22"/>
      <c r="F99" s="22"/>
      <c r="G99" s="22"/>
      <c r="H99" s="22"/>
      <c r="I99" s="22"/>
      <c r="J99" s="22"/>
      <c r="K99" s="22"/>
    </row>
    <row r="100" spans="1:11" ht="15.5" x14ac:dyDescent="0.35">
      <c r="A100" s="37"/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1:11" ht="15.5" x14ac:dyDescent="0.35">
      <c r="A101" s="37"/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1" ht="15.5" x14ac:dyDescent="0.35">
      <c r="A102" s="37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 ht="15.5" x14ac:dyDescent="0.35">
      <c r="A103" s="37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1" ht="15.5" x14ac:dyDescent="0.35">
      <c r="A104" s="37"/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1" ht="15.5" x14ac:dyDescent="0.35">
      <c r="A105" s="37"/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1" ht="15.5" x14ac:dyDescent="0.35">
      <c r="A106" s="37"/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1" ht="15.5" x14ac:dyDescent="0.35">
      <c r="A107" s="37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  <row r="108" spans="1:11" ht="15.5" x14ac:dyDescent="0.35">
      <c r="A108" s="37"/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spans="1:11" ht="15.5" x14ac:dyDescent="0.35">
      <c r="A109" s="37"/>
      <c r="B109" s="22"/>
      <c r="C109" s="22"/>
      <c r="D109" s="22"/>
      <c r="E109" s="22"/>
      <c r="F109" s="22"/>
      <c r="G109" s="22"/>
      <c r="H109" s="22"/>
      <c r="I109" s="22"/>
      <c r="J109" s="22"/>
      <c r="K109" s="22"/>
    </row>
    <row r="110" spans="1:11" ht="15.5" x14ac:dyDescent="0.35">
      <c r="A110" s="37"/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1:11" ht="15.5" x14ac:dyDescent="0.35">
      <c r="A111" s="37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1:11" x14ac:dyDescent="0.25">
      <c r="A112" s="831"/>
    </row>
    <row r="113" spans="1:1" x14ac:dyDescent="0.25">
      <c r="A113" s="831"/>
    </row>
    <row r="114" spans="1:1" x14ac:dyDescent="0.25">
      <c r="A114" s="831"/>
    </row>
    <row r="115" spans="1:1" x14ac:dyDescent="0.25">
      <c r="A115" s="831"/>
    </row>
    <row r="116" spans="1:1" x14ac:dyDescent="0.25">
      <c r="A116" s="831"/>
    </row>
    <row r="117" spans="1:1" x14ac:dyDescent="0.25">
      <c r="A117" s="831"/>
    </row>
    <row r="118" spans="1:1" x14ac:dyDescent="0.25">
      <c r="A118" s="831"/>
    </row>
    <row r="119" spans="1:1" x14ac:dyDescent="0.25">
      <c r="A119" s="831"/>
    </row>
    <row r="120" spans="1:1" x14ac:dyDescent="0.25">
      <c r="A120" s="831"/>
    </row>
    <row r="121" spans="1:1" x14ac:dyDescent="0.25">
      <c r="A121" s="831"/>
    </row>
    <row r="122" spans="1:1" x14ac:dyDescent="0.25">
      <c r="A122" s="831"/>
    </row>
  </sheetData>
  <printOptions horizontalCentered="1"/>
  <pageMargins left="0.25" right="0.25" top="0.5" bottom="0.5" header="0.25" footer="0.25"/>
  <pageSetup scale="65" orientation="landscape" r:id="rId1"/>
  <headerFooter alignWithMargins="0">
    <oddFooter>&amp;L&amp;"Times New Roman,Regular"&amp;12&amp;F&amp;C&amp;"Times New Roman,Regular"&amp;12Page 4 of 4&amp;R&amp;"Times New Roman,Regular"&amp;12&amp;A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68B23024258429DAC4122732B87ED" ma:contentTypeVersion="4" ma:contentTypeDescription="Create a new document." ma:contentTypeScope="" ma:versionID="636ff0a5a2bdf7d37862f872c94f0413">
  <xsd:schema xmlns:xsd="http://www.w3.org/2001/XMLSchema" xmlns:xs="http://www.w3.org/2001/XMLSchema" xmlns:p="http://schemas.microsoft.com/office/2006/metadata/properties" xmlns:ns2="af4f6bea-4661-4cda-b825-bd4d480ecdc0" targetNamespace="http://schemas.microsoft.com/office/2006/metadata/properties" ma:root="true" ma:fieldsID="1c3ab18bd271619b778fa6c53a5ac965" ns2:_="">
    <xsd:import namespace="af4f6bea-4661-4cda-b825-bd4d480ecd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f6bea-4661-4cda-b825-bd4d480ecd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6297B1-FE97-4212-A05A-D269667DDA0A}">
  <ds:schemaRefs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af4f6bea-4661-4cda-b825-bd4d480ecdc0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B85A27A-C370-487C-B166-E92606752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4f6bea-4661-4cda-b825-bd4d480ecd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D883E1-D7F1-4B52-B5CA-7803708D19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15</vt:i4>
      </vt:variant>
    </vt:vector>
  </HeadingPairs>
  <TitlesOfParts>
    <vt:vector size="45" baseType="lpstr">
      <vt:lpstr>Stmnt BD - Recorded KWH</vt:lpstr>
      <vt:lpstr>Stmnt BD - Forecast KWH</vt:lpstr>
      <vt:lpstr>Stmnt BD-Forecast MWH@Transm.</vt:lpstr>
      <vt:lpstr>Stmt BD-Forecast Pump Storage</vt:lpstr>
      <vt:lpstr>Stmt BD-Pump Load True Up Adj</vt:lpstr>
      <vt:lpstr>Stmt BG - Page 1</vt:lpstr>
      <vt:lpstr>Stmt BG - Page 2</vt:lpstr>
      <vt:lpstr>Stmt BG - Page 3</vt:lpstr>
      <vt:lpstr>Stmt BG - Page 4</vt:lpstr>
      <vt:lpstr>Stmt BH - Page 1</vt:lpstr>
      <vt:lpstr>Stmt BH - Page 2</vt:lpstr>
      <vt:lpstr>Stmt BH - Page 3</vt:lpstr>
      <vt:lpstr>Stmnt BK1 - TRBAA</vt:lpstr>
      <vt:lpstr>Stmnt BK2 - TRBAA</vt:lpstr>
      <vt:lpstr>Stmnt BL (Retail) - TRBAA</vt:lpstr>
      <vt:lpstr>Stmnt BL - CAISO WHOLESALE</vt:lpstr>
      <vt:lpstr>WP 1.1 Recorded Sales</vt:lpstr>
      <vt:lpstr>WP 1.2 Forecast Sales</vt:lpstr>
      <vt:lpstr>WP 2 Allocation of TRBAA</vt:lpstr>
      <vt:lpstr>WP 3 Standby Revenues</vt:lpstr>
      <vt:lpstr>WP 4 Monthly TRBAA </vt:lpstr>
      <vt:lpstr>WP 4 Footnotes</vt:lpstr>
      <vt:lpstr>WP 5 CAISO Charges</vt:lpstr>
      <vt:lpstr>WP 6 HV LV Alloc Summary</vt:lpstr>
      <vt:lpstr>WP 7 Wheeling Revenues</vt:lpstr>
      <vt:lpstr>WP 8 CT4575</vt:lpstr>
      <vt:lpstr>WP 9 ETC Cost Diffs</vt:lpstr>
      <vt:lpstr>WP 10 ETC Costs</vt:lpstr>
      <vt:lpstr>WP 11 Other PTO Forecast</vt:lpstr>
      <vt:lpstr>WP 12 PTO</vt:lpstr>
      <vt:lpstr>'Stmt BG - Page 2'!Print_Area</vt:lpstr>
      <vt:lpstr>'Stmt BH - Page 1'!Print_Area</vt:lpstr>
      <vt:lpstr>'Stmt BH - Page 2'!Print_Area</vt:lpstr>
      <vt:lpstr>'Stmt BH - Page 3'!Print_Area</vt:lpstr>
      <vt:lpstr>'WP 1.1 Recorded Sales'!Print_Area</vt:lpstr>
      <vt:lpstr>'WP 1.2 Forecast Sales'!Print_Area</vt:lpstr>
      <vt:lpstr>'WP 10 ETC Costs'!Print_Area</vt:lpstr>
      <vt:lpstr>'WP 12 PTO'!Print_Area</vt:lpstr>
      <vt:lpstr>'WP 3 Standby Revenues'!Print_Area</vt:lpstr>
      <vt:lpstr>'WP 4 Monthly TRBAA '!Print_Area</vt:lpstr>
      <vt:lpstr>'WP 5 CAISO Charges'!Print_Area</vt:lpstr>
      <vt:lpstr>'WP 6 HV LV Alloc Summary'!Print_Area</vt:lpstr>
      <vt:lpstr>'WP 10 ETC Costs'!Print_Titles</vt:lpstr>
      <vt:lpstr>'WP 4 Monthly TRBAA '!Print_Titles</vt:lpstr>
      <vt:lpstr>'WP 5 CAISO Charges'!Print_Titles</vt:lpstr>
    </vt:vector>
  </TitlesOfParts>
  <Manager/>
  <Company>Southern California Edison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Standard Configuration</dc:creator>
  <cp:keywords/>
  <dc:description/>
  <cp:lastModifiedBy>Tanedo, Lolit</cp:lastModifiedBy>
  <cp:revision/>
  <cp:lastPrinted>2022-10-19T19:51:23Z</cp:lastPrinted>
  <dcterms:created xsi:type="dcterms:W3CDTF">2001-12-04T15:42:58Z</dcterms:created>
  <dcterms:modified xsi:type="dcterms:W3CDTF">2022-10-26T22:21:49Z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2016 TRBAA Filing.xlsx</vt:lpwstr>
  </property>
  <property fmtid="{D5CDD505-2E9C-101B-9397-08002B2CF9AE}" pid="3" name="LINKTEK-ID-FILE">
    <vt:lpwstr>0198-58FE-34DB-7A1C</vt:lpwstr>
  </property>
  <property fmtid="{D5CDD505-2E9C-101B-9397-08002B2CF9AE}" pid="4" name="LINKTEK-ID-LINK=1">
    <vt:lpwstr>0199-2CFC-E4E6-C374|/2018/TO5-Cycle 1 Formula Rate Filing/B Statements/BD/TO5 C1 Statement BD.xlsx</vt:lpwstr>
  </property>
  <property fmtid="{D5CDD505-2E9C-101B-9397-08002B2CF9AE}" pid="5" name="LINKTEK-ID-LINK=2">
    <vt:lpwstr>011A-09EA-FF42-DCE9|2019 TRBAA Workpapers.xlsx</vt:lpwstr>
  </property>
  <property fmtid="{D5CDD505-2E9C-101B-9397-08002B2CF9AE}" pid="6" name="ContentTypeId">
    <vt:lpwstr>0x01010056268B23024258429DAC4122732B87ED</vt:lpwstr>
  </property>
  <property fmtid="{D5CDD505-2E9C-101B-9397-08002B2CF9AE}" pid="7" name="SV_QUERY_LIST_4F35BF76-6C0D-4D9B-82B2-816C12CF3733">
    <vt:lpwstr>empty_477D106A-C0D6-4607-AEBD-E2C9D60EA279</vt:lpwstr>
  </property>
  <property fmtid="{D5CDD505-2E9C-101B-9397-08002B2CF9AE}" pid="8" name="SV_HIDDEN_GRID_QUERY_LIST_4F35BF76-6C0D-4D9B-82B2-816C12CF3733">
    <vt:lpwstr>empty_477D106A-C0D6-4607-AEBD-E2C9D60EA279</vt:lpwstr>
  </property>
</Properties>
</file>